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G:\Delad\014-Ramuppdrag tillgänglighet\1. Effektiv produktions- och kapacitetsstyrning\2. Plats för vård\Stödmaterial NP\Finala versioner stöd 2025\"/>
    </mc:Choice>
  </mc:AlternateContent>
  <xr:revisionPtr revIDLastSave="0" documentId="13_ncr:1_{F7690AC9-D925-4A6A-917E-D44238B32CA9}" xr6:coauthVersionLast="47" xr6:coauthVersionMax="47" xr10:uidLastSave="{00000000-0000-0000-0000-000000000000}"/>
  <workbookProtection workbookAlgorithmName="SHA-512" workbookHashValue="aFuuPky3DofnV8PLxb7+12aE7+iWp/mzpwAXDceOhZ4gVKMRam6yogot6zsdGlN9wmxN1alQ/A6NKkNFgYZw5Q==" workbookSaltValue="rctT1pVPD96svqIpWA0+1g==" workbookSpinCount="100000" lockStructure="1"/>
  <bookViews>
    <workbookView xWindow="-110" yWindow="-110" windowWidth="19420" windowHeight="11500" tabRatio="942" xr2:uid="{3158244E-BD14-400A-A23F-E68A0DBE8C4F}"/>
  </bookViews>
  <sheets>
    <sheet name="Instruktioner" sheetId="1" r:id="rId1"/>
    <sheet name="Data - insamling av data" sheetId="2" state="hidden" r:id="rId2"/>
    <sheet name="Data - beräkning av pot vårdpla" sheetId="6" state="hidden" r:id="rId3"/>
    <sheet name="Översikt - Målsatta mått" sheetId="4" r:id="rId4"/>
    <sheet name="Översikt - Vårdplatspotential" sheetId="10" r:id="rId5"/>
    <sheet name="Kapacitetsmått" sheetId="11" r:id="rId6"/>
    <sheet name="Behovsmått" sheetId="13" r:id="rId7"/>
    <sheet name="Scenario - Egna målnivåer" sheetId="17" r:id="rId8"/>
    <sheet name="Ej målsatta mått" sheetId="14" r:id="rId9"/>
    <sheet name="Utvecklingsmått" sheetId="15" r:id="rId10"/>
    <sheet name="Stödfil" sheetId="5" state="hidden"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17" l="1"/>
  <c r="E38" i="17" s="1"/>
  <c r="A2" i="17" l="1"/>
  <c r="AH8" i="2"/>
  <c r="AI8" i="2"/>
  <c r="AK27" i="2"/>
  <c r="P10" i="6"/>
  <c r="D3" i="13"/>
  <c r="L21" i="13" s="1"/>
  <c r="D3" i="11"/>
  <c r="D9" i="11" s="1"/>
  <c r="C3" i="10"/>
  <c r="D3" i="4"/>
  <c r="F79" i="17"/>
  <c r="E79" i="17"/>
  <c r="E85" i="17" s="1"/>
  <c r="O121" i="17" l="1"/>
  <c r="O104" i="17"/>
  <c r="O111" i="17"/>
  <c r="O97" i="17"/>
  <c r="F67" i="17"/>
  <c r="D7" i="11"/>
  <c r="H7" i="11" s="1"/>
  <c r="L9" i="13"/>
  <c r="L11" i="13"/>
  <c r="L13" i="13"/>
  <c r="L7" i="13"/>
  <c r="L15" i="13"/>
  <c r="L17" i="13"/>
  <c r="L19" i="13"/>
  <c r="O86" i="17"/>
  <c r="O87" i="17"/>
  <c r="J78" i="17"/>
  <c r="J87" i="17" s="1"/>
  <c r="J84" i="17"/>
  <c r="J85" i="17"/>
  <c r="O78" i="17"/>
  <c r="O125" i="17"/>
  <c r="O126" i="17"/>
  <c r="O105" i="17"/>
  <c r="O79" i="17"/>
  <c r="O112" i="17"/>
  <c r="O107" i="17"/>
  <c r="O80" i="17"/>
  <c r="O114" i="17"/>
  <c r="O85" i="17"/>
  <c r="O118" i="17"/>
  <c r="O98" i="17"/>
  <c r="J77" i="17"/>
  <c r="O100" i="17"/>
  <c r="O92" i="17"/>
  <c r="O119" i="17"/>
  <c r="O93" i="17"/>
  <c r="E82" i="17"/>
  <c r="F85" i="17"/>
  <c r="E52" i="17" s="1"/>
  <c r="F52" i="17"/>
  <c r="F51" i="17"/>
  <c r="G35" i="17"/>
  <c r="O99" i="17" l="1"/>
  <c r="O101" i="17" s="1"/>
  <c r="G63" i="17" s="1"/>
  <c r="J79" i="17"/>
  <c r="O88" i="17"/>
  <c r="O89" i="17" s="1"/>
  <c r="G61" i="17" s="1"/>
  <c r="O127" i="17"/>
  <c r="O129" i="17" s="1"/>
  <c r="G67" i="17" s="1"/>
  <c r="O113" i="17"/>
  <c r="O115" i="17" s="1"/>
  <c r="G65" i="17" s="1"/>
  <c r="J86" i="17"/>
  <c r="J88" i="17" s="1"/>
  <c r="J89" i="17" s="1"/>
  <c r="J90" i="17" s="1"/>
  <c r="G46" i="17" s="1"/>
  <c r="O106" i="17"/>
  <c r="O108" i="17" s="1"/>
  <c r="G64" i="17" s="1"/>
  <c r="J80" i="17"/>
  <c r="J81" i="17" s="1"/>
  <c r="G45" i="17" s="1"/>
  <c r="O120" i="17"/>
  <c r="O122" i="17" s="1"/>
  <c r="G66" i="17" s="1"/>
  <c r="O81" i="17"/>
  <c r="O82" i="17" s="1"/>
  <c r="G60" i="17" s="1"/>
  <c r="O94" i="17"/>
  <c r="G62" i="17" s="1"/>
  <c r="F45" i="17"/>
  <c r="F46" i="17"/>
  <c r="F61" i="17"/>
  <c r="F60" i="17"/>
  <c r="F62" i="17"/>
  <c r="F63" i="17"/>
  <c r="F64" i="17"/>
  <c r="F65" i="17"/>
  <c r="F66" i="17"/>
  <c r="I35" i="17"/>
  <c r="G24" i="17" s="1"/>
  <c r="H35" i="17"/>
  <c r="D14" i="17" l="1"/>
  <c r="H14" i="17"/>
  <c r="G22" i="17"/>
  <c r="G68" i="17"/>
  <c r="G21" i="17" s="1"/>
  <c r="D12" i="17" s="1"/>
  <c r="G47" i="17"/>
  <c r="G25" i="17" l="1"/>
  <c r="D16" i="17" s="1"/>
  <c r="G51" i="17"/>
  <c r="G53" i="17" s="1"/>
  <c r="G20" i="17" s="1"/>
  <c r="H12" i="17" l="1"/>
  <c r="G23" i="17"/>
  <c r="J21" i="13"/>
  <c r="J19" i="13"/>
  <c r="J17" i="13"/>
  <c r="J15" i="13"/>
  <c r="J13" i="13"/>
  <c r="J11" i="13"/>
  <c r="J9" i="13"/>
  <c r="J7" i="13"/>
  <c r="F21" i="13"/>
  <c r="F19" i="13"/>
  <c r="F17" i="13"/>
  <c r="F15" i="13"/>
  <c r="F13" i="13"/>
  <c r="F11" i="13"/>
  <c r="F9" i="13"/>
  <c r="F7" i="13"/>
  <c r="D21" i="13"/>
  <c r="H21" i="13" s="1"/>
  <c r="D19" i="13"/>
  <c r="H19" i="13" s="1"/>
  <c r="D17" i="13"/>
  <c r="H17" i="13" s="1"/>
  <c r="D15" i="13"/>
  <c r="H15" i="13" s="1"/>
  <c r="D13" i="13"/>
  <c r="H13" i="13" s="1"/>
  <c r="D11" i="13"/>
  <c r="H11" i="13" s="1"/>
  <c r="D9" i="13"/>
  <c r="H9" i="13" s="1"/>
  <c r="D7" i="13"/>
  <c r="H7" i="13" s="1"/>
  <c r="J9" i="11"/>
  <c r="L9" i="11" s="1"/>
  <c r="F9" i="11"/>
  <c r="F7" i="11"/>
  <c r="J7" i="11"/>
  <c r="L7" i="11" s="1"/>
  <c r="P31" i="6"/>
  <c r="P11" i="6"/>
  <c r="P12" i="6"/>
  <c r="P13" i="6"/>
  <c r="P14" i="6"/>
  <c r="P15" i="6"/>
  <c r="P16" i="6"/>
  <c r="P17" i="6"/>
  <c r="P18" i="6"/>
  <c r="P19" i="6"/>
  <c r="P20" i="6"/>
  <c r="P21" i="6"/>
  <c r="P22" i="6"/>
  <c r="P23" i="6"/>
  <c r="P24" i="6"/>
  <c r="P25" i="6"/>
  <c r="P26" i="6"/>
  <c r="P27" i="6"/>
  <c r="P28" i="6"/>
  <c r="P29" i="6"/>
  <c r="P30" i="6"/>
  <c r="X32" i="10"/>
  <c r="H23" i="17" l="1"/>
  <c r="L5" i="17" s="1"/>
  <c r="H16" i="17"/>
  <c r="E18" i="17" s="1"/>
  <c r="H9" i="11"/>
  <c r="CE32" i="2"/>
  <c r="CF32" i="2"/>
  <c r="CG32" i="2"/>
  <c r="CD32" i="2"/>
  <c r="CD31" i="2"/>
  <c r="CF31" i="2"/>
  <c r="CG31" i="2"/>
  <c r="CE31" i="2"/>
  <c r="F25" i="4"/>
  <c r="F24" i="4"/>
  <c r="F13" i="4"/>
  <c r="CE30" i="2"/>
  <c r="CD30" i="2"/>
  <c r="E27" i="2" l="1"/>
  <c r="D27" i="2" l="1"/>
  <c r="C27" i="2"/>
  <c r="E40" i="6" l="1"/>
  <c r="E36" i="6"/>
  <c r="AC6" i="2"/>
  <c r="BB6" i="2"/>
  <c r="AG6" i="2"/>
  <c r="N6" i="2"/>
  <c r="I6" i="2" l="1"/>
  <c r="AO30" i="2" l="1"/>
  <c r="AR6" i="2" s="1"/>
  <c r="AS6" i="2" s="1"/>
  <c r="AJ8" i="2"/>
  <c r="AH6" i="2"/>
  <c r="AD8" i="2"/>
  <c r="AK7" i="2"/>
  <c r="AK8" i="2"/>
  <c r="AK9" i="2"/>
  <c r="AK10" i="2"/>
  <c r="AK11" i="2"/>
  <c r="AK12" i="2"/>
  <c r="AK13" i="2"/>
  <c r="AK14" i="2"/>
  <c r="AK15" i="2"/>
  <c r="AK16" i="2"/>
  <c r="AK17" i="2"/>
  <c r="AK18" i="2"/>
  <c r="AK19" i="2"/>
  <c r="AK20" i="2"/>
  <c r="AK21" i="2"/>
  <c r="AK22" i="2"/>
  <c r="AK23" i="2"/>
  <c r="AK24" i="2"/>
  <c r="AK25" i="2"/>
  <c r="AK26" i="2"/>
  <c r="AK6" i="2"/>
  <c r="H27" i="2" l="1"/>
  <c r="F29" i="4" l="1"/>
  <c r="CF30" i="2" l="1"/>
  <c r="F28" i="4" s="1"/>
  <c r="AG27" i="2" l="1"/>
  <c r="E6" i="6" s="1"/>
  <c r="AH17" i="2"/>
  <c r="AG7" i="2"/>
  <c r="AH7" i="2" s="1"/>
  <c r="AG8" i="2"/>
  <c r="AG9" i="2"/>
  <c r="AH9" i="2" s="1"/>
  <c r="AG10" i="2"/>
  <c r="AH10" i="2" s="1"/>
  <c r="AG11" i="2"/>
  <c r="AH11" i="2" s="1"/>
  <c r="AG12" i="2"/>
  <c r="AH12" i="2" s="1"/>
  <c r="AG13" i="2"/>
  <c r="AH13" i="2" s="1"/>
  <c r="AG14" i="2"/>
  <c r="AH14" i="2" s="1"/>
  <c r="AG15" i="2"/>
  <c r="AH15" i="2" s="1"/>
  <c r="AG16" i="2"/>
  <c r="AH16" i="2" s="1"/>
  <c r="AG17" i="2"/>
  <c r="AG18" i="2"/>
  <c r="AH18" i="2" s="1"/>
  <c r="AG19" i="2"/>
  <c r="AH19" i="2" s="1"/>
  <c r="AG20" i="2"/>
  <c r="AH20" i="2" s="1"/>
  <c r="AG21" i="2"/>
  <c r="AH21" i="2" s="1"/>
  <c r="AG22" i="2"/>
  <c r="AH22" i="2" s="1"/>
  <c r="AG23" i="2"/>
  <c r="AH23" i="2" s="1"/>
  <c r="AG24" i="2"/>
  <c r="AH24" i="2" s="1"/>
  <c r="AG25" i="2"/>
  <c r="AH25" i="2" s="1"/>
  <c r="AG26" i="2"/>
  <c r="AH26" i="2" s="1"/>
  <c r="AG30" i="2" l="1"/>
  <c r="AG32" i="2"/>
  <c r="AG33" i="2"/>
  <c r="AG31" i="2"/>
  <c r="AA6" i="2"/>
  <c r="U6" i="2"/>
  <c r="X6" i="2" s="1"/>
  <c r="K6" i="2"/>
  <c r="E7" i="6" l="1"/>
  <c r="AI6" i="2"/>
  <c r="AJ6" i="2" s="1"/>
  <c r="AI26" i="2"/>
  <c r="AJ26" i="2" s="1"/>
  <c r="AI14" i="2"/>
  <c r="AJ14" i="2" s="1"/>
  <c r="AI25" i="2"/>
  <c r="AJ25" i="2" s="1"/>
  <c r="AI13" i="2"/>
  <c r="AJ13" i="2" s="1"/>
  <c r="AI7" i="2"/>
  <c r="AJ7" i="2" s="1"/>
  <c r="AI16" i="2"/>
  <c r="AJ16" i="2" s="1"/>
  <c r="AI20" i="2"/>
  <c r="AJ20" i="2" s="1"/>
  <c r="AI17" i="2"/>
  <c r="AJ17" i="2" s="1"/>
  <c r="AI22" i="2"/>
  <c r="AJ22" i="2" s="1"/>
  <c r="AI19" i="2"/>
  <c r="AJ19" i="2" s="1"/>
  <c r="AI21" i="2"/>
  <c r="AJ21" i="2" s="1"/>
  <c r="AI18" i="2"/>
  <c r="AJ18" i="2" s="1"/>
  <c r="AI10" i="2"/>
  <c r="AJ10" i="2" s="1"/>
  <c r="AI9" i="2"/>
  <c r="AJ9" i="2" s="1"/>
  <c r="AI15" i="2"/>
  <c r="AJ15" i="2" s="1"/>
  <c r="AI23" i="2"/>
  <c r="AJ23" i="2" s="1"/>
  <c r="AI24" i="2"/>
  <c r="AJ24" i="2" s="1"/>
  <c r="AI11" i="2"/>
  <c r="AJ11" i="2" s="1"/>
  <c r="AI12" i="2"/>
  <c r="AJ12" i="2" s="1"/>
  <c r="F30" i="2" l="1"/>
  <c r="I7" i="2" l="1"/>
  <c r="BN6" i="2" l="1"/>
  <c r="CA7" i="2" l="1"/>
  <c r="CA8" i="2"/>
  <c r="CA9" i="2"/>
  <c r="CA10" i="2"/>
  <c r="CA11" i="2"/>
  <c r="CA12" i="2"/>
  <c r="CA13" i="2"/>
  <c r="CA14" i="2"/>
  <c r="CA15" i="2"/>
  <c r="CA16" i="2"/>
  <c r="CA17" i="2"/>
  <c r="CA18" i="2"/>
  <c r="CA19" i="2"/>
  <c r="CA20" i="2"/>
  <c r="CA21" i="2"/>
  <c r="CA22" i="2"/>
  <c r="CA23" i="2"/>
  <c r="CA24" i="2"/>
  <c r="CA25" i="2"/>
  <c r="CA26" i="2"/>
  <c r="CA6" i="2"/>
  <c r="M6" i="6" l="1"/>
  <c r="E12" i="6" l="1"/>
  <c r="E26" i="6"/>
  <c r="E30" i="6"/>
  <c r="E27" i="6"/>
  <c r="E15" i="6"/>
  <c r="E14" i="6"/>
  <c r="E25" i="6"/>
  <c r="E13" i="6"/>
  <c r="E24" i="6"/>
  <c r="E18" i="6"/>
  <c r="E17" i="6"/>
  <c r="E11" i="6"/>
  <c r="E21" i="6"/>
  <c r="E29" i="6"/>
  <c r="E20" i="6"/>
  <c r="E23" i="6"/>
  <c r="E22" i="6"/>
  <c r="E19" i="6"/>
  <c r="E28" i="6"/>
  <c r="E16" i="6"/>
  <c r="E10" i="6"/>
  <c r="BY33" i="2"/>
  <c r="BY32" i="2"/>
  <c r="BY31" i="2"/>
  <c r="BY30" i="2"/>
  <c r="BZ27" i="2"/>
  <c r="BT7" i="2"/>
  <c r="BT8" i="2"/>
  <c r="BT9" i="2"/>
  <c r="BT10" i="2"/>
  <c r="BT11" i="2"/>
  <c r="BT12" i="2"/>
  <c r="BT13" i="2"/>
  <c r="BT14" i="2"/>
  <c r="BT15" i="2"/>
  <c r="BT16" i="2"/>
  <c r="BT17" i="2"/>
  <c r="BT18" i="2"/>
  <c r="BT19" i="2"/>
  <c r="BT20" i="2"/>
  <c r="BT21" i="2"/>
  <c r="BT22" i="2"/>
  <c r="BT23" i="2"/>
  <c r="BT24" i="2"/>
  <c r="BT25" i="2"/>
  <c r="BT26" i="2"/>
  <c r="BT6" i="2"/>
  <c r="N11" i="6" l="1"/>
  <c r="O11" i="6"/>
  <c r="N17" i="6"/>
  <c r="O17" i="6"/>
  <c r="N18" i="6"/>
  <c r="O18" i="6"/>
  <c r="N24" i="6"/>
  <c r="O24" i="6"/>
  <c r="N16" i="6"/>
  <c r="O16" i="6"/>
  <c r="N13" i="6"/>
  <c r="O13" i="6"/>
  <c r="N25" i="6"/>
  <c r="O25" i="6"/>
  <c r="N19" i="6"/>
  <c r="O19" i="6"/>
  <c r="N14" i="6"/>
  <c r="O14" i="6"/>
  <c r="N15" i="6"/>
  <c r="O15" i="6"/>
  <c r="N28" i="6"/>
  <c r="O28" i="6"/>
  <c r="N23" i="6"/>
  <c r="O23" i="6"/>
  <c r="N27" i="6"/>
  <c r="O27" i="6"/>
  <c r="N20" i="6"/>
  <c r="O20" i="6"/>
  <c r="N30" i="6"/>
  <c r="O30" i="6"/>
  <c r="N10" i="6"/>
  <c r="O10" i="6"/>
  <c r="N29" i="6"/>
  <c r="O29" i="6"/>
  <c r="N26" i="6"/>
  <c r="O26" i="6"/>
  <c r="N22" i="6"/>
  <c r="O22" i="6"/>
  <c r="N21" i="6"/>
  <c r="O21" i="6"/>
  <c r="N12" i="6"/>
  <c r="O12" i="6"/>
  <c r="X31" i="10" s="1"/>
  <c r="Y27" i="10"/>
  <c r="Z27" i="10"/>
  <c r="X26" i="10"/>
  <c r="X27" i="10" s="1"/>
  <c r="Z26" i="10"/>
  <c r="H25" i="4"/>
  <c r="J25" i="4" s="1"/>
  <c r="H24" i="4"/>
  <c r="J24" i="4" s="1"/>
  <c r="H29" i="4"/>
  <c r="J29" i="4" s="1"/>
  <c r="H28" i="4"/>
  <c r="J28" i="4" s="1"/>
  <c r="H13" i="4"/>
  <c r="J13" i="4" s="1"/>
  <c r="E31" i="6"/>
  <c r="BT27" i="2"/>
  <c r="L6" i="6" s="1"/>
  <c r="H19" i="4"/>
  <c r="H23" i="4"/>
  <c r="J23" i="4" s="1"/>
  <c r="H17" i="4"/>
  <c r="J17" i="4" s="1"/>
  <c r="H27" i="4"/>
  <c r="J27" i="4" s="1"/>
  <c r="BT32" i="2"/>
  <c r="BT30" i="2"/>
  <c r="BT33" i="2"/>
  <c r="BT31" i="2"/>
  <c r="CB9" i="2"/>
  <c r="CC9" i="2" s="1"/>
  <c r="M13" i="6" s="1"/>
  <c r="CB21" i="2"/>
  <c r="CC21" i="2" s="1"/>
  <c r="M25" i="6" s="1"/>
  <c r="CB10" i="2"/>
  <c r="CC10" i="2" s="1"/>
  <c r="M14" i="6" s="1"/>
  <c r="CB22" i="2"/>
  <c r="CC22" i="2" s="1"/>
  <c r="M26" i="6" s="1"/>
  <c r="CB11" i="2"/>
  <c r="CC11" i="2" s="1"/>
  <c r="M15" i="6" s="1"/>
  <c r="CB23" i="2"/>
  <c r="CC23" i="2" s="1"/>
  <c r="M27" i="6" s="1"/>
  <c r="CB8" i="2"/>
  <c r="CC8" i="2" s="1"/>
  <c r="M12" i="6" s="1"/>
  <c r="CB20" i="2"/>
  <c r="CC20" i="2" s="1"/>
  <c r="M24" i="6" s="1"/>
  <c r="CB6" i="2"/>
  <c r="CC6" i="2" s="1"/>
  <c r="M10" i="6" s="1"/>
  <c r="CB7" i="2"/>
  <c r="CC7" i="2" s="1"/>
  <c r="M11" i="6" s="1"/>
  <c r="CB17" i="2"/>
  <c r="CC17" i="2" s="1"/>
  <c r="M21" i="6" s="1"/>
  <c r="M7" i="6"/>
  <c r="CB15" i="2"/>
  <c r="CC15" i="2" s="1"/>
  <c r="M19" i="6" s="1"/>
  <c r="CB26" i="2"/>
  <c r="CC26" i="2" s="1"/>
  <c r="M30" i="6" s="1"/>
  <c r="CB14" i="2"/>
  <c r="CC14" i="2" s="1"/>
  <c r="M18" i="6" s="1"/>
  <c r="CB12" i="2"/>
  <c r="CC12" i="2" s="1"/>
  <c r="M16" i="6" s="1"/>
  <c r="CB18" i="2"/>
  <c r="CC18" i="2" s="1"/>
  <c r="M22" i="6" s="1"/>
  <c r="CB16" i="2"/>
  <c r="CC16" i="2" s="1"/>
  <c r="M20" i="6" s="1"/>
  <c r="CB25" i="2"/>
  <c r="CC25" i="2" s="1"/>
  <c r="M29" i="6" s="1"/>
  <c r="CB13" i="2"/>
  <c r="CC13" i="2" s="1"/>
  <c r="M17" i="6" s="1"/>
  <c r="CB24" i="2"/>
  <c r="CC24" i="2" s="1"/>
  <c r="M28" i="6" s="1"/>
  <c r="CB19" i="2"/>
  <c r="CC19" i="2" s="1"/>
  <c r="M23" i="6" s="1"/>
  <c r="F27" i="4"/>
  <c r="BL27" i="2"/>
  <c r="BN27" i="2" s="1"/>
  <c r="K6" i="6" s="1"/>
  <c r="BF27" i="2"/>
  <c r="BB26" i="2"/>
  <c r="AZ27" i="2"/>
  <c r="N31" i="6" l="1"/>
  <c r="O31" i="6"/>
  <c r="BV17" i="2"/>
  <c r="BV6" i="2"/>
  <c r="BW6" i="2" s="1"/>
  <c r="BH27" i="2"/>
  <c r="J6" i="6" s="1"/>
  <c r="L7" i="6"/>
  <c r="BB27" i="2"/>
  <c r="I6" i="6" s="1"/>
  <c r="F23" i="4"/>
  <c r="BV23" i="2"/>
  <c r="BW23" i="2" s="1"/>
  <c r="L27" i="6" s="1"/>
  <c r="BV8" i="2"/>
  <c r="BW8" i="2" s="1"/>
  <c r="L12" i="6" s="1"/>
  <c r="BV20" i="2"/>
  <c r="BW20" i="2" s="1"/>
  <c r="L24" i="6" s="1"/>
  <c r="BV21" i="2"/>
  <c r="BW21" i="2" s="1"/>
  <c r="L25" i="6" s="1"/>
  <c r="BV10" i="2"/>
  <c r="BW10" i="2" s="1"/>
  <c r="L14" i="6" s="1"/>
  <c r="BV22" i="2"/>
  <c r="BW22" i="2" s="1"/>
  <c r="L26" i="6" s="1"/>
  <c r="BV9" i="2"/>
  <c r="BW9" i="2" s="1"/>
  <c r="L13" i="6" s="1"/>
  <c r="BV12" i="2"/>
  <c r="BW12" i="2" s="1"/>
  <c r="L16" i="6" s="1"/>
  <c r="BV24" i="2"/>
  <c r="BW24" i="2" s="1"/>
  <c r="L28" i="6" s="1"/>
  <c r="BV19" i="2"/>
  <c r="BW19" i="2" s="1"/>
  <c r="L23" i="6" s="1"/>
  <c r="BV13" i="2"/>
  <c r="BW13" i="2" s="1"/>
  <c r="L17" i="6" s="1"/>
  <c r="BV25" i="2"/>
  <c r="BW25" i="2" s="1"/>
  <c r="L29" i="6" s="1"/>
  <c r="BV18" i="2"/>
  <c r="BW18" i="2" s="1"/>
  <c r="L22" i="6" s="1"/>
  <c r="BV14" i="2"/>
  <c r="BW14" i="2" s="1"/>
  <c r="L18" i="6" s="1"/>
  <c r="BV26" i="2"/>
  <c r="BW26" i="2" s="1"/>
  <c r="L30" i="6" s="1"/>
  <c r="BV15" i="2"/>
  <c r="BW15" i="2" s="1"/>
  <c r="L19" i="6" s="1"/>
  <c r="L10" i="6"/>
  <c r="BV16" i="2"/>
  <c r="BW16" i="2" s="1"/>
  <c r="L20" i="6" s="1"/>
  <c r="BV7" i="2"/>
  <c r="BW7" i="2" s="1"/>
  <c r="L11" i="6" s="1"/>
  <c r="BV11" i="2"/>
  <c r="BW11" i="2" s="1"/>
  <c r="L15" i="6" s="1"/>
  <c r="BW17" i="2"/>
  <c r="L21" i="6" s="1"/>
  <c r="M31" i="6"/>
  <c r="H18" i="4"/>
  <c r="G6" i="6"/>
  <c r="AO33" i="2"/>
  <c r="AO32" i="2"/>
  <c r="AO31" i="2"/>
  <c r="F6" i="6"/>
  <c r="AR25" i="2" l="1"/>
  <c r="AS25" i="2" s="1"/>
  <c r="F29" i="6" s="1"/>
  <c r="AR15" i="2"/>
  <c r="AS15" i="2" s="1"/>
  <c r="F19" i="6" s="1"/>
  <c r="F10" i="6"/>
  <c r="AR17" i="2"/>
  <c r="AS17" i="2" s="1"/>
  <c r="F21" i="6" s="1"/>
  <c r="AR16" i="2"/>
  <c r="AS16" i="2" s="1"/>
  <c r="F20" i="6" s="1"/>
  <c r="AR18" i="2"/>
  <c r="AS18" i="2" s="1"/>
  <c r="F22" i="6" s="1"/>
  <c r="AR7" i="2"/>
  <c r="AS7" i="2" s="1"/>
  <c r="F11" i="6" s="1"/>
  <c r="AR19" i="2"/>
  <c r="AS19" i="2" s="1"/>
  <c r="F23" i="6" s="1"/>
  <c r="AR8" i="2"/>
  <c r="AS8" i="2" s="1"/>
  <c r="F12" i="6" s="1"/>
  <c r="AR20" i="2"/>
  <c r="AS20" i="2" s="1"/>
  <c r="F24" i="6" s="1"/>
  <c r="AR14" i="2"/>
  <c r="AS14" i="2" s="1"/>
  <c r="F18" i="6" s="1"/>
  <c r="AR9" i="2"/>
  <c r="AS9" i="2" s="1"/>
  <c r="F13" i="6" s="1"/>
  <c r="AR21" i="2"/>
  <c r="AS21" i="2" s="1"/>
  <c r="F25" i="6" s="1"/>
  <c r="AR11" i="2"/>
  <c r="AS11" i="2" s="1"/>
  <c r="F15" i="6" s="1"/>
  <c r="AR23" i="2"/>
  <c r="AS23" i="2" s="1"/>
  <c r="F27" i="6" s="1"/>
  <c r="AR12" i="2"/>
  <c r="AS12" i="2" s="1"/>
  <c r="F16" i="6" s="1"/>
  <c r="AR24" i="2"/>
  <c r="AS24" i="2" s="1"/>
  <c r="F28" i="6" s="1"/>
  <c r="AR13" i="2"/>
  <c r="AS13" i="2" s="1"/>
  <c r="F17" i="6" s="1"/>
  <c r="AR26" i="2"/>
  <c r="AS26" i="2" s="1"/>
  <c r="F30" i="6" s="1"/>
  <c r="AR10" i="2"/>
  <c r="AS10" i="2" s="1"/>
  <c r="F14" i="6" s="1"/>
  <c r="AR22" i="2"/>
  <c r="AS22" i="2" s="1"/>
  <c r="F26" i="6" s="1"/>
  <c r="L31" i="6"/>
  <c r="AX7" i="2"/>
  <c r="AY7" i="2" s="1"/>
  <c r="F7" i="6"/>
  <c r="F17" i="4"/>
  <c r="J18" i="4"/>
  <c r="AU31" i="2"/>
  <c r="AU33" i="2"/>
  <c r="AU32" i="2"/>
  <c r="AX23" i="2" l="1"/>
  <c r="AY23" i="2" s="1"/>
  <c r="G27" i="6" s="1"/>
  <c r="AX12" i="2"/>
  <c r="AY12" i="2" s="1"/>
  <c r="G16" i="6" s="1"/>
  <c r="AX24" i="2"/>
  <c r="AY24" i="2" s="1"/>
  <c r="G28" i="6" s="1"/>
  <c r="AX26" i="2"/>
  <c r="AY26" i="2" s="1"/>
  <c r="G30" i="6" s="1"/>
  <c r="AX13" i="2"/>
  <c r="AY13" i="2" s="1"/>
  <c r="G17" i="6" s="1"/>
  <c r="AX25" i="2"/>
  <c r="AY25" i="2" s="1"/>
  <c r="G29" i="6" s="1"/>
  <c r="AX14" i="2"/>
  <c r="AY14" i="2" s="1"/>
  <c r="G18" i="6" s="1"/>
  <c r="AX16" i="2"/>
  <c r="AY16" i="2" s="1"/>
  <c r="G20" i="6" s="1"/>
  <c r="AX6" i="2"/>
  <c r="AX17" i="2"/>
  <c r="AY17" i="2" s="1"/>
  <c r="G21" i="6" s="1"/>
  <c r="AX11" i="2"/>
  <c r="AY11" i="2" s="1"/>
  <c r="G15" i="6" s="1"/>
  <c r="AX18" i="2"/>
  <c r="AY18" i="2" s="1"/>
  <c r="G22" i="6" s="1"/>
  <c r="G11" i="6"/>
  <c r="AX8" i="2"/>
  <c r="AY8" i="2" s="1"/>
  <c r="G12" i="6" s="1"/>
  <c r="AX20" i="2"/>
  <c r="AY20" i="2" s="1"/>
  <c r="G24" i="6" s="1"/>
  <c r="AX19" i="2"/>
  <c r="AY19" i="2" s="1"/>
  <c r="G23" i="6" s="1"/>
  <c r="AX9" i="2"/>
  <c r="AY9" i="2" s="1"/>
  <c r="G13" i="6" s="1"/>
  <c r="AX21" i="2"/>
  <c r="AY21" i="2" s="1"/>
  <c r="G25" i="6" s="1"/>
  <c r="AX10" i="2"/>
  <c r="AY10" i="2" s="1"/>
  <c r="G14" i="6" s="1"/>
  <c r="AX22" i="2"/>
  <c r="AY22" i="2" s="1"/>
  <c r="G26" i="6" s="1"/>
  <c r="AX15" i="2"/>
  <c r="AY15" i="2" s="1"/>
  <c r="G19" i="6" s="1"/>
  <c r="F31" i="6"/>
  <c r="G7" i="6"/>
  <c r="F18" i="4"/>
  <c r="AK33" i="2"/>
  <c r="AK32" i="2"/>
  <c r="AK31" i="2"/>
  <c r="AK30" i="2"/>
  <c r="AM6" i="2" s="1"/>
  <c r="H10" i="6" s="1"/>
  <c r="AY6" i="2" l="1"/>
  <c r="G10" i="6" s="1"/>
  <c r="G31" i="6" s="1"/>
  <c r="AM26" i="2"/>
  <c r="H30" i="6" s="1"/>
  <c r="AM17" i="2"/>
  <c r="H21" i="6" s="1"/>
  <c r="H7" i="6"/>
  <c r="F19" i="4"/>
  <c r="AA26" i="2"/>
  <c r="AA27" i="2" l="1"/>
  <c r="D6" i="6" s="1"/>
  <c r="O27" i="2"/>
  <c r="L27" i="2"/>
  <c r="P27" i="2" l="1"/>
  <c r="K27" i="2"/>
  <c r="V7" i="2" l="1"/>
  <c r="W7" i="2" s="1"/>
  <c r="V8" i="2"/>
  <c r="W8" i="2" s="1"/>
  <c r="V9" i="2"/>
  <c r="W9" i="2" s="1"/>
  <c r="V10" i="2"/>
  <c r="W10" i="2" s="1"/>
  <c r="V11" i="2"/>
  <c r="W11" i="2" s="1"/>
  <c r="V12" i="2"/>
  <c r="W12" i="2" s="1"/>
  <c r="V13" i="2"/>
  <c r="W13" i="2" s="1"/>
  <c r="V14" i="2"/>
  <c r="W14" i="2" s="1"/>
  <c r="V15" i="2"/>
  <c r="W15" i="2" s="1"/>
  <c r="V16" i="2"/>
  <c r="W16" i="2" s="1"/>
  <c r="V17" i="2"/>
  <c r="W17" i="2" s="1"/>
  <c r="V18" i="2"/>
  <c r="W18" i="2" s="1"/>
  <c r="V19" i="2"/>
  <c r="W19" i="2" s="1"/>
  <c r="V20" i="2"/>
  <c r="W20" i="2" s="1"/>
  <c r="V21" i="2"/>
  <c r="W21" i="2" s="1"/>
  <c r="V22" i="2"/>
  <c r="W22" i="2" s="1"/>
  <c r="V23" i="2"/>
  <c r="W23" i="2" s="1"/>
  <c r="V24" i="2"/>
  <c r="W24" i="2" s="1"/>
  <c r="V25" i="2"/>
  <c r="W25" i="2" s="1"/>
  <c r="V26" i="2"/>
  <c r="W26" i="2" s="1"/>
  <c r="V6" i="2"/>
  <c r="W6" i="2" s="1"/>
  <c r="U7" i="2"/>
  <c r="X7" i="2" s="1"/>
  <c r="U8" i="2"/>
  <c r="X8" i="2" s="1"/>
  <c r="H10" i="4" s="1"/>
  <c r="U9" i="2"/>
  <c r="X9" i="2" s="1"/>
  <c r="U10" i="2"/>
  <c r="X10" i="2" s="1"/>
  <c r="U11" i="2"/>
  <c r="X11" i="2" s="1"/>
  <c r="U12" i="2"/>
  <c r="X12" i="2" s="1"/>
  <c r="U13" i="2"/>
  <c r="X13" i="2" s="1"/>
  <c r="U14" i="2"/>
  <c r="X14" i="2" s="1"/>
  <c r="U15" i="2"/>
  <c r="X15" i="2" s="1"/>
  <c r="U16" i="2"/>
  <c r="X16" i="2" s="1"/>
  <c r="U17" i="2"/>
  <c r="X17" i="2" s="1"/>
  <c r="U18" i="2"/>
  <c r="X18" i="2" s="1"/>
  <c r="U19" i="2"/>
  <c r="X19" i="2" s="1"/>
  <c r="U20" i="2"/>
  <c r="X20" i="2" s="1"/>
  <c r="U21" i="2"/>
  <c r="X21" i="2" s="1"/>
  <c r="U22" i="2"/>
  <c r="X22" i="2" s="1"/>
  <c r="U23" i="2"/>
  <c r="X23" i="2" s="1"/>
  <c r="U24" i="2"/>
  <c r="X24" i="2" s="1"/>
  <c r="U25" i="2"/>
  <c r="X25" i="2" s="1"/>
  <c r="U26" i="2"/>
  <c r="X26" i="2" s="1"/>
  <c r="P7" i="2"/>
  <c r="P8" i="2"/>
  <c r="H9" i="4" s="1"/>
  <c r="P9" i="2"/>
  <c r="P10" i="2"/>
  <c r="P11" i="2"/>
  <c r="P12" i="2"/>
  <c r="P13" i="2"/>
  <c r="P14" i="2"/>
  <c r="P15" i="2"/>
  <c r="P16" i="2"/>
  <c r="P17" i="2"/>
  <c r="P18" i="2"/>
  <c r="P19" i="2"/>
  <c r="P20" i="2"/>
  <c r="P21" i="2"/>
  <c r="P22" i="2"/>
  <c r="P23" i="2"/>
  <c r="P24" i="2"/>
  <c r="P25" i="2"/>
  <c r="P26" i="2"/>
  <c r="P6" i="2"/>
  <c r="N7" i="2"/>
  <c r="N8" i="2"/>
  <c r="N9" i="2"/>
  <c r="N10" i="2"/>
  <c r="N11" i="2"/>
  <c r="N12" i="2"/>
  <c r="N13" i="2"/>
  <c r="N14" i="2"/>
  <c r="N15" i="2"/>
  <c r="N16" i="2"/>
  <c r="N17" i="2"/>
  <c r="N18" i="2"/>
  <c r="N19" i="2"/>
  <c r="N20" i="2"/>
  <c r="N21" i="2"/>
  <c r="N22" i="2"/>
  <c r="N23" i="2"/>
  <c r="N24" i="2"/>
  <c r="N25" i="2"/>
  <c r="N26" i="2"/>
  <c r="J9" i="4" l="1"/>
  <c r="W27" i="2"/>
  <c r="X33" i="2"/>
  <c r="X27" i="2"/>
  <c r="W33" i="2"/>
  <c r="W31" i="2"/>
  <c r="W32" i="2"/>
  <c r="W30" i="2"/>
  <c r="X32" i="2"/>
  <c r="X31" i="2"/>
  <c r="X30" i="2"/>
  <c r="P31" i="2"/>
  <c r="P33" i="2"/>
  <c r="P30" i="2"/>
  <c r="P32" i="2"/>
  <c r="I27" i="2"/>
  <c r="F9" i="4" l="1"/>
  <c r="J10" i="4"/>
  <c r="BN7" i="2"/>
  <c r="BN8" i="2"/>
  <c r="BN9" i="2"/>
  <c r="BN10" i="2"/>
  <c r="BN11" i="2"/>
  <c r="BN12" i="2"/>
  <c r="BN13" i="2"/>
  <c r="BN14" i="2"/>
  <c r="BN15" i="2"/>
  <c r="BN16" i="2"/>
  <c r="BN17" i="2"/>
  <c r="BN18" i="2"/>
  <c r="BN19" i="2"/>
  <c r="BN20" i="2"/>
  <c r="BN21" i="2"/>
  <c r="BN22" i="2"/>
  <c r="BN23" i="2"/>
  <c r="BN24" i="2"/>
  <c r="BN25" i="2"/>
  <c r="BN26" i="2"/>
  <c r="H22" i="4" l="1"/>
  <c r="J22" i="4" s="1"/>
  <c r="BN32" i="2"/>
  <c r="BN31" i="2"/>
  <c r="BN30" i="2"/>
  <c r="BP6" i="2" s="1"/>
  <c r="BQ6" i="2" s="1"/>
  <c r="K10" i="6" s="1"/>
  <c r="BN33" i="2"/>
  <c r="BH7" i="2"/>
  <c r="BH8" i="2"/>
  <c r="BH9" i="2"/>
  <c r="BH10" i="2"/>
  <c r="BH11" i="2"/>
  <c r="BH12" i="2"/>
  <c r="BH13" i="2"/>
  <c r="BH14" i="2"/>
  <c r="BH15" i="2"/>
  <c r="BH16" i="2"/>
  <c r="BH17" i="2"/>
  <c r="BH18" i="2"/>
  <c r="BH19" i="2"/>
  <c r="BH20" i="2"/>
  <c r="BH21" i="2"/>
  <c r="BH22" i="2"/>
  <c r="BH23" i="2"/>
  <c r="BH24" i="2"/>
  <c r="BH25" i="2"/>
  <c r="BH26" i="2"/>
  <c r="BH6" i="2"/>
  <c r="BP14" i="2" l="1"/>
  <c r="BQ14" i="2" s="1"/>
  <c r="K18" i="6" s="1"/>
  <c r="BP11" i="2"/>
  <c r="BQ11" i="2" s="1"/>
  <c r="K15" i="6" s="1"/>
  <c r="BP21" i="2"/>
  <c r="BQ21" i="2" s="1"/>
  <c r="K25" i="6" s="1"/>
  <c r="BP24" i="2"/>
  <c r="BQ24" i="2" s="1"/>
  <c r="K28" i="6" s="1"/>
  <c r="BP12" i="2"/>
  <c r="BQ12" i="2" s="1"/>
  <c r="K16" i="6" s="1"/>
  <c r="BP19" i="2"/>
  <c r="BQ19" i="2" s="1"/>
  <c r="K23" i="6" s="1"/>
  <c r="BP20" i="2"/>
  <c r="BQ20" i="2" s="1"/>
  <c r="K24" i="6" s="1"/>
  <c r="BP25" i="2"/>
  <c r="BQ25" i="2" s="1"/>
  <c r="K29" i="6" s="1"/>
  <c r="BP13" i="2"/>
  <c r="BQ13" i="2" s="1"/>
  <c r="K17" i="6" s="1"/>
  <c r="BP16" i="2"/>
  <c r="BQ16" i="2" s="1"/>
  <c r="K20" i="6" s="1"/>
  <c r="H21" i="4"/>
  <c r="J21" i="4" s="1"/>
  <c r="BP9" i="2"/>
  <c r="BQ9" i="2" s="1"/>
  <c r="K13" i="6" s="1"/>
  <c r="BP15" i="2"/>
  <c r="BQ15" i="2" s="1"/>
  <c r="K19" i="6" s="1"/>
  <c r="BP17" i="2"/>
  <c r="BQ17" i="2" s="1"/>
  <c r="K21" i="6" s="1"/>
  <c r="BP23" i="2"/>
  <c r="BQ23" i="2" s="1"/>
  <c r="K27" i="6" s="1"/>
  <c r="BP8" i="2"/>
  <c r="BQ8" i="2" s="1"/>
  <c r="K12" i="6" s="1"/>
  <c r="BP22" i="2"/>
  <c r="BQ22" i="2" s="1"/>
  <c r="K26" i="6" s="1"/>
  <c r="BP10" i="2"/>
  <c r="BQ10" i="2" s="1"/>
  <c r="K14" i="6" s="1"/>
  <c r="BP18" i="2"/>
  <c r="BQ18" i="2" s="1"/>
  <c r="K22" i="6" s="1"/>
  <c r="BP7" i="2"/>
  <c r="BQ7" i="2" s="1"/>
  <c r="K11" i="6" s="1"/>
  <c r="K31" i="6" s="1"/>
  <c r="BP26" i="2"/>
  <c r="BQ26" i="2" s="1"/>
  <c r="K30" i="6" s="1"/>
  <c r="K7" i="6"/>
  <c r="F22" i="4"/>
  <c r="BH30" i="2"/>
  <c r="BJ9" i="2" s="1"/>
  <c r="BK9" i="2" s="1"/>
  <c r="J13" i="6" s="1"/>
  <c r="BH32" i="2"/>
  <c r="BH33" i="2"/>
  <c r="BH31" i="2"/>
  <c r="BB7" i="2"/>
  <c r="BB8" i="2"/>
  <c r="BB9" i="2"/>
  <c r="BB10" i="2"/>
  <c r="BB12" i="2"/>
  <c r="BB13" i="2"/>
  <c r="BB14" i="2"/>
  <c r="BB15" i="2"/>
  <c r="BB16" i="2"/>
  <c r="BB17" i="2"/>
  <c r="BB18" i="2"/>
  <c r="BB19" i="2"/>
  <c r="BB20" i="2"/>
  <c r="BB21" i="2"/>
  <c r="BB22" i="2"/>
  <c r="BB24" i="2"/>
  <c r="BB25" i="2"/>
  <c r="BJ13" i="2" l="1"/>
  <c r="BK13" i="2" s="1"/>
  <c r="J17" i="6" s="1"/>
  <c r="BJ6" i="2"/>
  <c r="BK6" i="2" s="1"/>
  <c r="J10" i="6" s="1"/>
  <c r="BJ15" i="2"/>
  <c r="BK15" i="2" s="1"/>
  <c r="J19" i="6" s="1"/>
  <c r="BJ22" i="2"/>
  <c r="BK22" i="2" s="1"/>
  <c r="J26" i="6" s="1"/>
  <c r="BJ21" i="2"/>
  <c r="BK21" i="2" s="1"/>
  <c r="J25" i="6" s="1"/>
  <c r="BJ11" i="2"/>
  <c r="BK11" i="2" s="1"/>
  <c r="J15" i="6" s="1"/>
  <c r="BJ19" i="2"/>
  <c r="BK19" i="2" s="1"/>
  <c r="J23" i="6" s="1"/>
  <c r="BJ12" i="2"/>
  <c r="BK12" i="2" s="1"/>
  <c r="J16" i="6" s="1"/>
  <c r="BJ17" i="2"/>
  <c r="BK17" i="2" s="1"/>
  <c r="J21" i="6" s="1"/>
  <c r="BJ10" i="2"/>
  <c r="BK10" i="2" s="1"/>
  <c r="J14" i="6" s="1"/>
  <c r="BJ8" i="2"/>
  <c r="BK8" i="2" s="1"/>
  <c r="J12" i="6" s="1"/>
  <c r="BJ14" i="2"/>
  <c r="BK14" i="2" s="1"/>
  <c r="J18" i="6" s="1"/>
  <c r="BJ18" i="2"/>
  <c r="BK18" i="2" s="1"/>
  <c r="J22" i="6" s="1"/>
  <c r="BJ23" i="2"/>
  <c r="BK23" i="2" s="1"/>
  <c r="J27" i="6" s="1"/>
  <c r="BJ7" i="2"/>
  <c r="BK7" i="2" s="1"/>
  <c r="J11" i="6" s="1"/>
  <c r="BJ25" i="2"/>
  <c r="BK25" i="2" s="1"/>
  <c r="J29" i="6" s="1"/>
  <c r="BJ24" i="2"/>
  <c r="BK24" i="2" s="1"/>
  <c r="J28" i="6" s="1"/>
  <c r="BJ20" i="2"/>
  <c r="BK20" i="2" s="1"/>
  <c r="J24" i="6" s="1"/>
  <c r="BJ16" i="2"/>
  <c r="BK16" i="2" s="1"/>
  <c r="J20" i="6" s="1"/>
  <c r="BJ26" i="2"/>
  <c r="BK26" i="2" s="1"/>
  <c r="J30" i="6" s="1"/>
  <c r="J7" i="6"/>
  <c r="F21" i="4"/>
  <c r="BB23" i="2"/>
  <c r="BB11" i="2"/>
  <c r="AM7" i="2"/>
  <c r="H11" i="6" s="1"/>
  <c r="AM8" i="2"/>
  <c r="H12" i="6" s="1"/>
  <c r="AM9" i="2"/>
  <c r="H13" i="6" s="1"/>
  <c r="AM10" i="2"/>
  <c r="H14" i="6" s="1"/>
  <c r="AM11" i="2"/>
  <c r="H15" i="6" s="1"/>
  <c r="AM12" i="2"/>
  <c r="H16" i="6" s="1"/>
  <c r="AM13" i="2"/>
  <c r="H17" i="6" s="1"/>
  <c r="AM14" i="2"/>
  <c r="H18" i="6" s="1"/>
  <c r="AM15" i="2"/>
  <c r="H19" i="6" s="1"/>
  <c r="AM16" i="2"/>
  <c r="H20" i="6" s="1"/>
  <c r="AM18" i="2"/>
  <c r="H22" i="6" s="1"/>
  <c r="AM19" i="2"/>
  <c r="H23" i="6" s="1"/>
  <c r="AM20" i="2"/>
  <c r="H24" i="6" s="1"/>
  <c r="AM21" i="2"/>
  <c r="H25" i="6" s="1"/>
  <c r="AM22" i="2"/>
  <c r="H26" i="6" s="1"/>
  <c r="AM23" i="2"/>
  <c r="H27" i="6" s="1"/>
  <c r="AM24" i="2"/>
  <c r="H28" i="6" s="1"/>
  <c r="AM25" i="2"/>
  <c r="H29" i="6" s="1"/>
  <c r="AA7" i="2"/>
  <c r="AA9" i="2"/>
  <c r="AA10" i="2"/>
  <c r="AA11" i="2"/>
  <c r="AA12" i="2"/>
  <c r="AA13" i="2"/>
  <c r="AA14" i="2"/>
  <c r="AA15" i="2"/>
  <c r="AA16" i="2"/>
  <c r="AA17" i="2"/>
  <c r="AA18" i="2"/>
  <c r="AA19" i="2"/>
  <c r="AA20" i="2"/>
  <c r="AA21" i="2"/>
  <c r="AA22" i="2"/>
  <c r="AA23" i="2"/>
  <c r="AA24" i="2"/>
  <c r="AA25" i="2"/>
  <c r="J31" i="6" l="1"/>
  <c r="H20" i="4"/>
  <c r="J20" i="4" s="1"/>
  <c r="H12" i="4"/>
  <c r="J12" i="4" s="1"/>
  <c r="AA32" i="2"/>
  <c r="AA31" i="2"/>
  <c r="AD6" i="2"/>
  <c r="AA33" i="2"/>
  <c r="BB32" i="2"/>
  <c r="BB33" i="2"/>
  <c r="BB31" i="2"/>
  <c r="BB30" i="2"/>
  <c r="K7" i="2"/>
  <c r="K8" i="2"/>
  <c r="K9" i="2"/>
  <c r="K10" i="2"/>
  <c r="K11" i="2"/>
  <c r="K12" i="2"/>
  <c r="K13" i="2"/>
  <c r="K14" i="2"/>
  <c r="K15" i="2"/>
  <c r="K16" i="2"/>
  <c r="K17" i="2"/>
  <c r="K18" i="2"/>
  <c r="K19" i="2"/>
  <c r="K20" i="2"/>
  <c r="K21" i="2"/>
  <c r="K22" i="2"/>
  <c r="K23" i="2"/>
  <c r="K24" i="2"/>
  <c r="K25" i="2"/>
  <c r="K26" i="2"/>
  <c r="I8" i="2"/>
  <c r="I9" i="2"/>
  <c r="I10" i="2"/>
  <c r="I11" i="2"/>
  <c r="I12" i="2"/>
  <c r="I13" i="2"/>
  <c r="I14" i="2"/>
  <c r="I15" i="2"/>
  <c r="I16" i="2"/>
  <c r="I17" i="2"/>
  <c r="I18" i="2"/>
  <c r="I19" i="2"/>
  <c r="I20" i="2"/>
  <c r="I21" i="2"/>
  <c r="I22" i="2"/>
  <c r="I23" i="2"/>
  <c r="I24" i="2"/>
  <c r="I25" i="2"/>
  <c r="I26" i="2"/>
  <c r="BD23" i="2" l="1"/>
  <c r="BE23" i="2" s="1"/>
  <c r="I27" i="6" s="1"/>
  <c r="BD8" i="2"/>
  <c r="AC7" i="2"/>
  <c r="D10" i="6"/>
  <c r="AC11" i="2"/>
  <c r="AC23" i="2"/>
  <c r="AC10" i="2"/>
  <c r="AC12" i="2"/>
  <c r="AC24" i="2"/>
  <c r="AC13" i="2"/>
  <c r="AC25" i="2"/>
  <c r="AC14" i="2"/>
  <c r="AC26" i="2"/>
  <c r="AC22" i="2"/>
  <c r="AC15" i="2"/>
  <c r="AC16" i="2"/>
  <c r="AC17" i="2"/>
  <c r="AC18" i="2"/>
  <c r="AC19" i="2"/>
  <c r="D12" i="6"/>
  <c r="AC20" i="2"/>
  <c r="AC9" i="2"/>
  <c r="AC21" i="2"/>
  <c r="H8" i="4"/>
  <c r="J8" i="4" s="1"/>
  <c r="BD6" i="2"/>
  <c r="BE6" i="2" s="1"/>
  <c r="I10" i="6" s="1"/>
  <c r="BD26" i="2"/>
  <c r="BE26" i="2" s="1"/>
  <c r="I30" i="6" s="1"/>
  <c r="BD12" i="2"/>
  <c r="BE12" i="2" s="1"/>
  <c r="I16" i="6" s="1"/>
  <c r="BD10" i="2"/>
  <c r="BE10" i="2" s="1"/>
  <c r="I14" i="6" s="1"/>
  <c r="BD19" i="2"/>
  <c r="BE19" i="2" s="1"/>
  <c r="I23" i="6" s="1"/>
  <c r="BD15" i="2"/>
  <c r="BE15" i="2" s="1"/>
  <c r="I19" i="6" s="1"/>
  <c r="BD22" i="2"/>
  <c r="BE22" i="2" s="1"/>
  <c r="I26" i="6" s="1"/>
  <c r="BE8" i="2"/>
  <c r="I12" i="6" s="1"/>
  <c r="BD18" i="2"/>
  <c r="BE18" i="2" s="1"/>
  <c r="I22" i="6" s="1"/>
  <c r="BD9" i="2"/>
  <c r="BE9" i="2" s="1"/>
  <c r="I13" i="6" s="1"/>
  <c r="BD20" i="2"/>
  <c r="BE20" i="2" s="1"/>
  <c r="I24" i="6" s="1"/>
  <c r="BD25" i="2"/>
  <c r="BE25" i="2" s="1"/>
  <c r="I29" i="6" s="1"/>
  <c r="BD7" i="2"/>
  <c r="BE7" i="2" s="1"/>
  <c r="I11" i="6" s="1"/>
  <c r="BD17" i="2"/>
  <c r="BE17" i="2" s="1"/>
  <c r="I21" i="6" s="1"/>
  <c r="BD14" i="2"/>
  <c r="BE14" i="2" s="1"/>
  <c r="I18" i="6" s="1"/>
  <c r="BD24" i="2"/>
  <c r="BE24" i="2" s="1"/>
  <c r="I28" i="6" s="1"/>
  <c r="BD13" i="2"/>
  <c r="BE13" i="2" s="1"/>
  <c r="I17" i="6" s="1"/>
  <c r="BD21" i="2"/>
  <c r="BE21" i="2" s="1"/>
  <c r="I25" i="6" s="1"/>
  <c r="BD16" i="2"/>
  <c r="BE16" i="2" s="1"/>
  <c r="I20" i="6" s="1"/>
  <c r="H7" i="4"/>
  <c r="J7" i="4" s="1"/>
  <c r="BD11" i="2"/>
  <c r="BE11" i="2" s="1"/>
  <c r="I15" i="6" s="1"/>
  <c r="H6" i="6"/>
  <c r="J19" i="4"/>
  <c r="D7" i="6"/>
  <c r="F12" i="4"/>
  <c r="I7" i="6"/>
  <c r="F20" i="4"/>
  <c r="K33" i="2"/>
  <c r="K30" i="2"/>
  <c r="K32" i="2"/>
  <c r="K31" i="2"/>
  <c r="I32" i="2"/>
  <c r="I31" i="2"/>
  <c r="I33" i="2"/>
  <c r="AD14" i="2" l="1"/>
  <c r="D18" i="6" s="1"/>
  <c r="AD9" i="2"/>
  <c r="D13" i="6" s="1"/>
  <c r="AD13" i="2"/>
  <c r="D17" i="6" s="1"/>
  <c r="AD20" i="2"/>
  <c r="D24" i="6" s="1"/>
  <c r="AD24" i="2"/>
  <c r="D28" i="6" s="1"/>
  <c r="AD12" i="2"/>
  <c r="D16" i="6" s="1"/>
  <c r="AD19" i="2"/>
  <c r="D23" i="6" s="1"/>
  <c r="AD10" i="2"/>
  <c r="D14" i="6" s="1"/>
  <c r="AD18" i="2"/>
  <c r="D22" i="6" s="1"/>
  <c r="AD23" i="2"/>
  <c r="D27" i="6" s="1"/>
  <c r="AD17" i="2"/>
  <c r="D21" i="6" s="1"/>
  <c r="AD11" i="2"/>
  <c r="D15" i="6" s="1"/>
  <c r="AD26" i="2"/>
  <c r="D30" i="6" s="1"/>
  <c r="AD16" i="2"/>
  <c r="D20" i="6" s="1"/>
  <c r="AD21" i="2"/>
  <c r="D25" i="6" s="1"/>
  <c r="AD15" i="2"/>
  <c r="D19" i="6" s="1"/>
  <c r="AD25" i="2"/>
  <c r="D29" i="6" s="1"/>
  <c r="AD22" i="2"/>
  <c r="D26" i="6" s="1"/>
  <c r="AD7" i="2"/>
  <c r="D11" i="6" s="1"/>
  <c r="I31" i="6"/>
  <c r="F8" i="4"/>
  <c r="F7" i="4"/>
  <c r="H31" i="6"/>
  <c r="D31"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Sjöberg, Therese</author>
  </authors>
  <commentList>
    <comment ref="O128" authorId="0" shapeId="0" xr:uid="{29D22E6C-DF5B-48C0-8779-124B5DD77F06}">
      <text>
        <r>
          <rPr>
            <b/>
            <sz val="9"/>
            <color indexed="81"/>
            <rFont val="Tahoma"/>
            <family val="2"/>
          </rPr>
          <t>Sjöberg, Therese:</t>
        </r>
        <r>
          <rPr>
            <sz val="9"/>
            <color indexed="81"/>
            <rFont val="Tahoma"/>
            <family val="2"/>
          </rPr>
          <t xml:space="preserve">
låst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<sst xmlns="http://schemas.openxmlformats.org/spreadsheetml/2006/main" count="590" uniqueCount="392">
  <si>
    <t>Region</t>
  </si>
  <si>
    <t>Blekinge</t>
  </si>
  <si>
    <t>Dalarna</t>
  </si>
  <si>
    <t>Gotland</t>
  </si>
  <si>
    <t>Gävleborg</t>
  </si>
  <si>
    <t>Halland</t>
  </si>
  <si>
    <t>Jönköping</t>
  </si>
  <si>
    <t>Kalmar</t>
  </si>
  <si>
    <t>Kronoberg</t>
  </si>
  <si>
    <t>Norrbotten</t>
  </si>
  <si>
    <t>Skåne</t>
  </si>
  <si>
    <t>Stockholm</t>
  </si>
  <si>
    <t>Uppsala</t>
  </si>
  <si>
    <t>Värmland</t>
  </si>
  <si>
    <t>Västerbotten</t>
  </si>
  <si>
    <t>Västernorrland</t>
  </si>
  <si>
    <t>Västmanland</t>
  </si>
  <si>
    <t>Örebro</t>
  </si>
  <si>
    <t>Östergötland</t>
  </si>
  <si>
    <t>Västra Götaland</t>
  </si>
  <si>
    <t>Beläggningsgrad somatisk vård</t>
  </si>
  <si>
    <t>Överbeläggningar per 100 disponibla vårdplatser</t>
  </si>
  <si>
    <t>Utlokaliseringar per 100 disponibla vårdplatser</t>
  </si>
  <si>
    <t>Andel patienter som får vänta längre än vårdgarantins gränser på planerade åtgärder som kräver sluten vård (av totalt antal väntande på sådan åtgärd)</t>
  </si>
  <si>
    <t>Källa:</t>
  </si>
  <si>
    <t>SKR:s väntetidsstatistik</t>
  </si>
  <si>
    <t>4:e bästa region</t>
  </si>
  <si>
    <t>Uträkning riktvärde - somatisk vård - kort sikt</t>
  </si>
  <si>
    <t>Uträkning riktvärde - IVA - kort och medellång sikt</t>
  </si>
  <si>
    <t>PAR</t>
  </si>
  <si>
    <t>Totalt antal månadsavlönade ssk inom specialiserad somatisk vård</t>
  </si>
  <si>
    <t>Totalt antal sjukskrivna (med sjukpenning) ssk inom specialiserad somatisk vård</t>
  </si>
  <si>
    <t>Andel långtidssjukfrånvaro för sjuksköterskor i somatisk specialistvård</t>
  </si>
  <si>
    <t>Kommentar</t>
  </si>
  <si>
    <t xml:space="preserve">Gotland </t>
  </si>
  <si>
    <t>SKR, väntetidsdatabas (datauttag)</t>
  </si>
  <si>
    <t xml:space="preserve">På grund av bristande data exkluderas Stockholm ur beräkningen. Ovan antas Stockholm ha en andel i linje med rikssnittet. </t>
  </si>
  <si>
    <t>Andel vårdplatser belagda av utskrivningsklara patienter inom somatisk vård</t>
  </si>
  <si>
    <t>Vårdplatser som upptas av utskrivningsklara patienter inom somatisk vård</t>
  </si>
  <si>
    <t>Påverkbar slutenvård per 100 000 invånare 65+</t>
  </si>
  <si>
    <t>SCB</t>
  </si>
  <si>
    <t>Medelvårdtid somatisk slutenvård 65+
(2022)</t>
  </si>
  <si>
    <t>Påverkbar slutenvård för kroniska sjukdomar 65+</t>
  </si>
  <si>
    <t xml:space="preserve">Påverkbar slutenvård för kroniska sjukdomar per 100 000 invånare 20-64 år </t>
  </si>
  <si>
    <t>PAR, publik databas</t>
  </si>
  <si>
    <t>Fallskador som leder till slutenvårdstillfälle 65+</t>
  </si>
  <si>
    <t>Regioner</t>
  </si>
  <si>
    <t>Vårdskador i sluten vård 
(2022)</t>
  </si>
  <si>
    <t>Slutenvårdstillfällen 
(2022)</t>
  </si>
  <si>
    <t>Vården i siffror (SKR:s markösbaserade journalgranskning)</t>
  </si>
  <si>
    <t>Lägsta resultat</t>
  </si>
  <si>
    <t>Högsta resultat</t>
  </si>
  <si>
    <t>Uträkning</t>
  </si>
  <si>
    <t xml:space="preserve">Medel </t>
  </si>
  <si>
    <t>Riket</t>
  </si>
  <si>
    <t>Överbeläggningar</t>
  </si>
  <si>
    <t>Utlokaliseringar</t>
  </si>
  <si>
    <t>Andel akutmottagningsbesök som varat mer än fyra timmar eller mer där patient skrivits in i somatisk slutenvård per invånare</t>
  </si>
  <si>
    <t xml:space="preserve">Kunde hämta via SoS utdataportal används 19+ för val av ålderskategori </t>
  </si>
  <si>
    <t>Andel besök över 4 timmar per akutbesök</t>
  </si>
  <si>
    <t>Akut väntande</t>
  </si>
  <si>
    <t>PAR, utdataportal</t>
  </si>
  <si>
    <t>Inskick från regionerna</t>
  </si>
  <si>
    <t>För de regioner som inte inkommit med data till SoS har SKR:s väntetidsdatabas använts för att estimera datapunkter</t>
  </si>
  <si>
    <t xml:space="preserve">Andel väntande över 90 dagar januari </t>
  </si>
  <si>
    <t>Andel väntande över 90 dagar december</t>
  </si>
  <si>
    <t>Medel viktat</t>
  </si>
  <si>
    <t>SKR personalstatistik</t>
  </si>
  <si>
    <t>Sjukfrånvaro somatisk vård</t>
  </si>
  <si>
    <t>Utsrivningsklara somatisk vård</t>
  </si>
  <si>
    <t>OBS detta är uträknat i två steg. Data som inkommit omfattar 20 +. Så alla vårdtillfällen för 65+ har subtraherats för att få fram denna siffra</t>
  </si>
  <si>
    <t>Befolkning 65+
(2023)</t>
  </si>
  <si>
    <t>Något andra befolkningsiffror från när detta räknades ut av Emma</t>
  </si>
  <si>
    <t>Påverkbar slutenvård 65+</t>
  </si>
  <si>
    <t>Genomsnittlig andel vårdskador 2017-2022
(2022)</t>
  </si>
  <si>
    <t>Genomsnittligt antal baserat på antal vårdtillfällen
(2022)</t>
  </si>
  <si>
    <t>Vårdskador</t>
  </si>
  <si>
    <t xml:space="preserve">Region: </t>
  </si>
  <si>
    <t xml:space="preserve">För användning av excelfilen: </t>
  </si>
  <si>
    <t xml:space="preserve">Steg 1: välj vilken region du vill presentera data för </t>
  </si>
  <si>
    <t xml:space="preserve">Välj region: </t>
  </si>
  <si>
    <t>Målsatta mått</t>
  </si>
  <si>
    <t xml:space="preserve">Resultat 2024 </t>
  </si>
  <si>
    <t xml:space="preserve">Fokusområde </t>
  </si>
  <si>
    <t xml:space="preserve">Andel besök på akutmottagningen där vistelsetiden varit över fyra timmar för personer som skrivs in i sluten vård </t>
  </si>
  <si>
    <t>Andel patienter som får vänta längre än vårdgarantins gränser på planerade åtgärder som kräver sluten vård</t>
  </si>
  <si>
    <t xml:space="preserve">Regionens placering </t>
  </si>
  <si>
    <t>Långtidssjukfrånvaro för sjuksköterskor</t>
  </si>
  <si>
    <t>Avgångar för sjuksköterskor</t>
  </si>
  <si>
    <t>Säkerställ hållbar kompetensförsörjning</t>
  </si>
  <si>
    <t>Använd kompetensen ändamålsenligt</t>
  </si>
  <si>
    <t xml:space="preserve">Ställ om till en god och nära vård </t>
  </si>
  <si>
    <t>Oplanerade återinskrivningar (över 65 år)</t>
  </si>
  <si>
    <t>Oplanerade återinskrivningar (20 - 64 år)</t>
  </si>
  <si>
    <t>Vårdtillfällen med påverkbar sluten vård för patienter över 65 år</t>
  </si>
  <si>
    <t xml:space="preserve">Vårdtillfällen med påverkbar sluten vård för vissa kroniska sjukdomar för patienter över 65 år </t>
  </si>
  <si>
    <t xml:space="preserve">Vårdtillfällen med påverkbar sluten vård för vissa kroniska sjukdomar för patienter 20 - 64 år </t>
  </si>
  <si>
    <t xml:space="preserve">Fallskador som leder till slutenvård för äldre </t>
  </si>
  <si>
    <t>Kontinuitetsindex, läkare</t>
  </si>
  <si>
    <t xml:space="preserve">Kontinuitetsindex, sjuksköterskor </t>
  </si>
  <si>
    <t xml:space="preserve">Agera för säker vård </t>
  </si>
  <si>
    <t>Vårdtillfällen med vårdskador inom somatisk sluten vård</t>
  </si>
  <si>
    <t>Oplanerade återinläggningar på IVA</t>
  </si>
  <si>
    <t>Andel vårdplatser belagda av utskrivningsklara patienter somatisk vård</t>
  </si>
  <si>
    <t>Påverkbar slutenvård för kroniska sjukdomar 20-64 år</t>
  </si>
  <si>
    <t>Indikator</t>
  </si>
  <si>
    <t xml:space="preserve">Datainsamling </t>
  </si>
  <si>
    <t>Sammanställning av potentiella vårdplatser</t>
  </si>
  <si>
    <t xml:space="preserve">Fokusområde: </t>
  </si>
  <si>
    <t>Målsatt mått</t>
  </si>
  <si>
    <t>Rikssnitt</t>
  </si>
  <si>
    <t>Målsättning</t>
  </si>
  <si>
    <t xml:space="preserve">Utlokaliseringar per 100 disponibla vårdplatser </t>
  </si>
  <si>
    <t xml:space="preserve">Avgångar för sjuksköterskor </t>
  </si>
  <si>
    <t>Uträkningsstöd</t>
  </si>
  <si>
    <t>Antal vårdplatser per SSK</t>
  </si>
  <si>
    <t>Bemanningskvot</t>
  </si>
  <si>
    <t>Arbetstimmar/vecka SSK</t>
  </si>
  <si>
    <t>Veckor/år SSK</t>
  </si>
  <si>
    <t>Sysselsättningsgrad</t>
  </si>
  <si>
    <t>Antal månadsavlönade SSK/vårdplats</t>
  </si>
  <si>
    <t>Sparade vårdplatser = (antal SSK med långtidssjukfrånvaro - målnivå*antal månadsavlönade SSK)/antal månadsavlönade SSK per vårdplats</t>
  </si>
  <si>
    <t>(((antal oplanerade återinskrivningar -(målnivå*antal vårdtillfällen))*medelvårdtid)/365</t>
  </si>
  <si>
    <t>Ställ om till en god och nära vård för att minska behovet av sluten vård på sjukhus</t>
  </si>
  <si>
    <t>Andel vårdplatser belagda av utskrivningsklara patienter</t>
  </si>
  <si>
    <t>Antal utskrivningsklara vårdplatser - (målväre*antal disponibla vårdplatser SKR:s väntetidsstatistik)</t>
  </si>
  <si>
    <t>=</t>
  </si>
  <si>
    <t xml:space="preserve">Agera för en säker vård </t>
  </si>
  <si>
    <t>Antal sparade vårdtillfällen per region</t>
  </si>
  <si>
    <t>Antal sparade vårdplatser per region</t>
  </si>
  <si>
    <t>Genomsnittlig vårdtid för vårdskada: 6,5</t>
  </si>
  <si>
    <t>Sparade vårdtillfällen per region</t>
  </si>
  <si>
    <t>Sparade vårdplatser per region</t>
  </si>
  <si>
    <t>Antal sparade vårdtillfällen</t>
  </si>
  <si>
    <t>Antal sparade vårdplatser</t>
  </si>
  <si>
    <t xml:space="preserve">Antal sparade vårdplatser per region </t>
  </si>
  <si>
    <t>Antal sparade månadstjänster per region</t>
  </si>
  <si>
    <t>Totalt antal sparade vårdplatser</t>
  </si>
  <si>
    <t xml:space="preserve">Datastöd till flik: Översikt </t>
  </si>
  <si>
    <t xml:space="preserve">Antal disponibla vårdplatser 2024 </t>
  </si>
  <si>
    <t>Tilläggsvärde</t>
  </si>
  <si>
    <t xml:space="preserve">Riktvärde för behov av antal vårdplatser på kort sikt </t>
  </si>
  <si>
    <t>Säkerställ hållbar kompetens-försörjning</t>
  </si>
  <si>
    <t>Basvärde</t>
  </si>
  <si>
    <t>Potentiella vårdplatser vid måluppfyllese av målsatta mått</t>
  </si>
  <si>
    <t xml:space="preserve">Överflyttningar till annan IVA på grund av resursbrist </t>
  </si>
  <si>
    <t>Antal månadsanställda och tillsvidareanställda i regionen som lämnat sektor 2022-2023</t>
  </si>
  <si>
    <t>Antal månadsavlönade ssk i regionen</t>
  </si>
  <si>
    <t>SKR - personalstatistik</t>
  </si>
  <si>
    <t xml:space="preserve">Andel avgångar i procent </t>
  </si>
  <si>
    <t>Personal i somatisk specialiserad vård som avgår  (antaget samma andel som alla regionanställda ssk)</t>
  </si>
  <si>
    <t>Avgångar somatisk specialicerad vård</t>
  </si>
  <si>
    <t>Antagande om avgångar under 60 år</t>
  </si>
  <si>
    <t>Oplanerad återinskrivning i sluten vård 65+</t>
  </si>
  <si>
    <t>Oplanerad återinskrivning i sluten vård 20- 64 år</t>
  </si>
  <si>
    <t>Överflyttningar till IVA pga resursbrist</t>
  </si>
  <si>
    <t>SIR</t>
  </si>
  <si>
    <t>Andel överflyttningar till annan IVA på grund av resursbrist</t>
  </si>
  <si>
    <t>Andel oplanerade återinläggningar på IVA inom 72 timmar</t>
  </si>
  <si>
    <t>Utlokaliseringar per dag under månaden/året</t>
  </si>
  <si>
    <t>Överbeläggningar per dag under månaden/året</t>
  </si>
  <si>
    <t>Sörmland</t>
  </si>
  <si>
    <t>Jämtland Härjedalen</t>
  </si>
  <si>
    <t>Sysselsättningsgrad sjuksköterskor</t>
  </si>
  <si>
    <t>Totalt antal väntande december 2024</t>
  </si>
  <si>
    <t>Antal väntande inom 90 dagar december 2024</t>
  </si>
  <si>
    <t>Totalt antal väntande januari 2024</t>
  </si>
  <si>
    <t>Antal väntande inom 90 dagar januari 2024</t>
  </si>
  <si>
    <t>Antal väntande över 90 dagar december 2024</t>
  </si>
  <si>
    <t>Antal väntande över 90 dagar januari 2024</t>
  </si>
  <si>
    <t>Antal återinskrivningar inom 30 dagar i slutenvård 65+ (2023)</t>
  </si>
  <si>
    <t>Andel återinskrivningar inom 30 dagar i slutenvården 65+
(2023)</t>
  </si>
  <si>
    <t>Totalt antal vårdtillfällen för 65+
(2023)</t>
  </si>
  <si>
    <t>Antal återinskrivningar inom 30 dagar i slutenvård 20-64 år 
(2023)</t>
  </si>
  <si>
    <t>Andel återinskrivningar inom 30 dagar i slutenvården 20-64 år
(2023)</t>
  </si>
  <si>
    <t>Totalt antal vårdtillfällen för 20-64 år
(2023)</t>
  </si>
  <si>
    <t>Vårdtillfällen med påverkbar slutenvård 65+
(2024)</t>
  </si>
  <si>
    <t>Slutenvårdstillfällen för 65+ pga fallskador (2023)</t>
  </si>
  <si>
    <t>Medelvårdtid för fallskada 65+
(2023)</t>
  </si>
  <si>
    <t>Andel slutenvårdstillfällen pga fallskada per invånare 65+ 
(2023)</t>
  </si>
  <si>
    <t>Befolkning 65+ 
(2023)</t>
  </si>
  <si>
    <t>Befolkning 65+
(2024)</t>
  </si>
  <si>
    <t>Vårdtillfällen med påverkbar slutenvård för kroniska sjukdomar 65+
(2023)</t>
  </si>
  <si>
    <t>Påverkbar slutenvård med kroniska sjukdomar per 100 000 invånare 65+
(2023)</t>
  </si>
  <si>
    <t>Medelvårdtid vårdtillfällen med påverkbar slutenvård
(2023)</t>
  </si>
  <si>
    <t>Vårdtillfällen med påverkbar slutenvård för kroniska sjukdomar 20-64 år 
(2023)</t>
  </si>
  <si>
    <t>Befolkning 20-64 år 
(2023)</t>
  </si>
  <si>
    <t>Medelvårdtid somatisk slutenvård 20-64 år 
(2023)</t>
  </si>
  <si>
    <t>Antal akutmottagningsbesök som varat fyra timmar eller mer där patient skrivits in i somatisk vård (2024)</t>
  </si>
  <si>
    <t>Befolkning 2024</t>
  </si>
  <si>
    <t>Antal akutbesök
(2024)</t>
  </si>
  <si>
    <t>Medelvårdtid för återinskrivningar inom 30 dagar i slutenvården 65+
(2023)</t>
  </si>
  <si>
    <t>Medelvårdtid för återinskrivningar inom 30 dagar i slutenvården 20-64 år
(2023)</t>
  </si>
  <si>
    <t>Riktvärde kort sikt 2024</t>
  </si>
  <si>
    <t>Disponibla vårdplatser 2024</t>
  </si>
  <si>
    <t>Disponibla IVA vårdplatser 2024</t>
  </si>
  <si>
    <t>Kontinuitetsindex sjuksköterskor</t>
  </si>
  <si>
    <t>Kontinuitetsindex läkare</t>
  </si>
  <si>
    <t>Primärvårdskvalitet</t>
  </si>
  <si>
    <t>Kontinuitetsindex för alla patienter, senaste 18 månaderna, sjuksköterska</t>
  </si>
  <si>
    <t>Kontinuitetsindex för alla patienter, senaste 18 månaderna, läkare</t>
  </si>
  <si>
    <t>A</t>
  </si>
  <si>
    <t>Översikt - Målsatta mått och regionens resultat</t>
  </si>
  <si>
    <t>Figur 2: Vårdplatspotential vid uppfyllda målnivåer - fördelat på kapacitet och behov</t>
  </si>
  <si>
    <t>Figur 1: Uppskattat vårdplatsbehov jämfört med disponibla vårdplatser och förbättringspotential</t>
  </si>
  <si>
    <t>Kapacitetsmått</t>
  </si>
  <si>
    <t>Behovsmått</t>
  </si>
  <si>
    <t>Översikt potentialskattning: Vägen mot balans - nuläge, mål och förbättringspotential</t>
  </si>
  <si>
    <t xml:space="preserve">Kapacitetsmått - förbättringspotential i vårdplatser </t>
  </si>
  <si>
    <t>Region:</t>
  </si>
  <si>
    <t xml:space="preserve">Denna vy visar hur många vårdplatser som uppskattningsvis kan frigöras om målnivåerna för kapacitetsmåtten uppnås. </t>
  </si>
  <si>
    <t>Nuvarande nivå</t>
  </si>
  <si>
    <t>Målnivå</t>
  </si>
  <si>
    <t>Skillnad</t>
  </si>
  <si>
    <t>Sparade månadstjänster (beräknat)</t>
  </si>
  <si>
    <t xml:space="preserve">Behovsmått - förbättringspotential i vårdplatser </t>
  </si>
  <si>
    <t xml:space="preserve">Denna vy visar hur många vårdplatser som uppskattningsvis kan frigöras om målnivåerna för behovsmåtten uppnås. </t>
  </si>
  <si>
    <t>Vårdtillfällen med påverkvar sluten vård för vissa kroniska sjukdomar 20 - 64 år</t>
  </si>
  <si>
    <t>Vårdtillfällen med påverkbar sluten vård för vissa kroniska sjukdomar 20 - 64 år</t>
  </si>
  <si>
    <t>Sparade vårdtillfällen (beräknat)</t>
  </si>
  <si>
    <t xml:space="preserve">Antal dagar över/under verksamhetens eget riktvärde för beläggningsgrad </t>
  </si>
  <si>
    <t>Tid från inskrivningsbeslut till inskrivning</t>
  </si>
  <si>
    <t>Sent strukna operationer på grund av orsak kopplad till vårdgivare</t>
  </si>
  <si>
    <t xml:space="preserve">Vårdtider för valda patientgrupper </t>
  </si>
  <si>
    <t xml:space="preserve">Andel rotations-/kombinationstjänster </t>
  </si>
  <si>
    <t xml:space="preserve">Beskrivning </t>
  </si>
  <si>
    <t>Andel anställningsavtal med bara dagtid</t>
  </si>
  <si>
    <t>Utvecklingsmått</t>
  </si>
  <si>
    <t>Ej målsatta mått</t>
  </si>
  <si>
    <t xml:space="preserve">Mått på erfarenhet bland anställd personal </t>
  </si>
  <si>
    <t>Mått på erfarenhet i form av exempelvis implementerade kompetensstegar/kompetensmodeller och andel personal som befinner sig på varje steg/nivå. Med en strategi för vilket behov av antal medarbetare per steg/nivå enheten behöver för den vård som bedrivs.</t>
  </si>
  <si>
    <t>Antal vårdplatser ständga på grund av personalbrist</t>
  </si>
  <si>
    <t>Vårdplatser som är budgeterade eller planerade för men som inte kan göras disponibla på grund av att bemanning saknas. En tredjedel av regionerna har inte ett bestämt vårdplatsantal och beskriver svårigheter att följa upp detta mått av den anledningen. Flera av de regioner som arbetar med ett fastställt antal vårdplatser saknar uppföljning på varför en vårdplats är stängd. Även om uppföljning saknas idag är målnivån för detta mått noll, då målet är att antalet disponibla vårdplatser ska möta behovet.</t>
  </si>
  <si>
    <t xml:space="preserve">Andel arbetstid ägnad åt uppgifter kopplade till vårdnära service </t>
  </si>
  <si>
    <t xml:space="preserve">Andel arbetstid ägnas åt uppgifter kopplade till läkemedelshantering </t>
  </si>
  <si>
    <t xml:space="preserve">Andel av verksamheter med realtidsuppföljning av vårdbehov/vårdintensitet </t>
  </si>
  <si>
    <t xml:space="preserve">Bemanning per vårdplats </t>
  </si>
  <si>
    <t>Antal disponibla vårdplatser per sjuksköterska respektive undersköterska. Behöver ta hänsyn till bland annat typen av verksamhet, kringresurser, vilken vårdnivå och vilken typ av vård som ges.</t>
  </si>
  <si>
    <t>Andel arbetstid ägnad åt administration</t>
  </si>
  <si>
    <t>Andel verksamheter/sjukhus med pågående uppgiftsväxlingsarbete</t>
  </si>
  <si>
    <t>Andel operationer och behandlingar som utförs i öppen vård - för vissa patientgrupper och åtgärder</t>
  </si>
  <si>
    <t>Sjukhusvård i hemmet</t>
  </si>
  <si>
    <t>Verksamheter som genomför enkät om Hållbart SäkerhetsEngagemang (HSE)</t>
  </si>
  <si>
    <t xml:space="preserve">Andel verksamheter som genomför enkät om Hållbart SäkerhetsEngagemang (HSE). Systematiskt arbete med resultat från sådana enkäter innebär ett mer proaktivt patientsäkerhetsarbete. </t>
  </si>
  <si>
    <t xml:space="preserve">Mått som följer upp och utvärderar arbete med personcentrerad vård </t>
  </si>
  <si>
    <t xml:space="preserve">Idag finns inget enhetligt eller samlat mått på hur verksamheten arbetar med personcentrerad vård. Mått bör utvecklas med utgångspunkt i befintlig forskning och kvalitativa instrument för att följa upp personcentrerad vård. </t>
  </si>
  <si>
    <t>Mått som speglar systematiskt arbete utifrån den nationella hadnlingsplanen för patientsäkerhet</t>
  </si>
  <si>
    <t xml:space="preserve">Utöver mått på att huvudmännen har tagit fram en lokal hadnlingsplan för patientsäkerhet finns inget enhetligt eller samlat mått på hur väl verksamheten arbetar systematiskt med att utveckla patientsäkerheten. </t>
  </si>
  <si>
    <t>Önskvärd riktning</t>
  </si>
  <si>
    <t>↓</t>
  </si>
  <si>
    <t>↑</t>
  </si>
  <si>
    <t>Vårdplatser i gemensam regional (primärvård) och kommunal regi</t>
  </si>
  <si>
    <t xml:space="preserve">Denna vy innehåller en sammanställning av de mått som har identifierats som relevanta inom de olika fokusområdena, men som i nuläget inte har målnivåer fastställda. Måtten kan ändå vara viktiga att följa över tid för att komplettera bilden av vårdplarsbehov i systemet. 
</t>
  </si>
  <si>
    <t>Ej målsatta mått - Indikatorer för fortsatt uppföljning och analys</t>
  </si>
  <si>
    <t>Utvecklingsmått - Indikatorer för fortsatt uppföljning och analys</t>
  </si>
  <si>
    <t xml:space="preserve">Denna vy innehåller en sammanställning av de utvecklingsmått som har identifierats som relevanta inom de olika fokusområdena. Utvecklingsmåtten har inkluderats för att poängtera vikten av fortsatt arbete inom vissa områden - måtten är relevanta att vidareutveckla och systematisera  men saknar i dagsläget tydliga definitioner och/eller mätmetoder. </t>
  </si>
  <si>
    <t xml:space="preserve">Uppdrag </t>
  </si>
  <si>
    <t>Självskattning</t>
  </si>
  <si>
    <t>Medelvårdtid (dygn):</t>
  </si>
  <si>
    <t>Beläggningsgrad (%):</t>
  </si>
  <si>
    <t>Scenario</t>
  </si>
  <si>
    <t>Inrapporterat/SKR:s verksamhetsstatistik</t>
  </si>
  <si>
    <t>Potentialskattning för ökad vårdkapacitet</t>
  </si>
  <si>
    <t>Vårdplats-potential (beräknat)</t>
  </si>
  <si>
    <t>Regionens potentialskattning - olika scenario ex. IVA</t>
  </si>
  <si>
    <t>Kapacitetsbehov för att möta vårdbehov</t>
  </si>
  <si>
    <t>Tillgänglig kapacitet</t>
  </si>
  <si>
    <t>Resultat potentialskattning</t>
  </si>
  <si>
    <t>Kapacitetsökning (antal disponibla vårdplatser)</t>
  </si>
  <si>
    <t>Minskat vårdplatsbehov (antal disponibla vårdplatser)</t>
  </si>
  <si>
    <t>Nuläge (antal disponibla vårdplatser)</t>
  </si>
  <si>
    <t>Differens mot riktvärde</t>
  </si>
  <si>
    <t xml:space="preserve">Resultat potentialskattning </t>
  </si>
  <si>
    <t>Riktvärde - om vårdplatsbehovet kan minskas (antal disponibla vårdplatser)</t>
  </si>
  <si>
    <t>Såhär går ni tillväga</t>
  </si>
  <si>
    <t>Här kan ni fylla i</t>
  </si>
  <si>
    <t>VÅRDPLATSER SCENARIO</t>
  </si>
  <si>
    <t>Uppdrag (antal vårdkontakter):</t>
  </si>
  <si>
    <t>Riktvärde</t>
  </si>
  <si>
    <t>Antal vårddygn:</t>
  </si>
  <si>
    <t>Antal vårdplatser (snitt över året)</t>
  </si>
  <si>
    <t>Kapacitetsökning i antal disponibla vårdplatser</t>
  </si>
  <si>
    <t>Långtidsjukfrånvaro - SSK</t>
  </si>
  <si>
    <t>Avgångar från sektorn - SSK</t>
  </si>
  <si>
    <t>Resultat kapacitetsökning  i antal disponibla vårdplatser</t>
  </si>
  <si>
    <t>Antal vårdplatser per sjuksköterska snitt per dygn</t>
  </si>
  <si>
    <t>Månadsavlönade SSK som behövs per vårdplats</t>
  </si>
  <si>
    <t>Kapacitetsförändring i antal disponibla vårdplatser</t>
  </si>
  <si>
    <t>Resultat skillnad i antal disponibla vårdplatser</t>
  </si>
  <si>
    <t>Oplanerade återinskrivningar i sluten vård 65+</t>
  </si>
  <si>
    <t>Oplanerade återinskrivningar i sluten vård 20-64</t>
  </si>
  <si>
    <t>Utskrivningsklara patienter</t>
  </si>
  <si>
    <t>Påverkbar slutenvård för kroniska sjukdomar 20-64</t>
  </si>
  <si>
    <t>Fallskador som leder till slutenvårdstillfälle</t>
  </si>
  <si>
    <t>Vårdskador i sluten vård</t>
  </si>
  <si>
    <t>Resultat minskat vårdplatsbehov  i antal disponibla vårdplatser*</t>
  </si>
  <si>
    <t>Bakomliggande formler</t>
  </si>
  <si>
    <t>Ökad vårdkapacitet</t>
  </si>
  <si>
    <t>Minskat vårdplatsbehov</t>
  </si>
  <si>
    <t>Långtidsjukfrånvaro</t>
  </si>
  <si>
    <t>Antaganden för bemanning - används för kapacitetsmåtten</t>
  </si>
  <si>
    <t>Antal vårdplatser per sjuksköterska</t>
  </si>
  <si>
    <t>Antal återinskrivningar i sluten vård 65+</t>
  </si>
  <si>
    <t>Hur många timmar per vecka motsvarar en tjänst?</t>
  </si>
  <si>
    <t>Sparade månadstjänster per region - scenario långtidssjukfrånvaro</t>
  </si>
  <si>
    <t>Sparade vårdplatser per region - scenario</t>
  </si>
  <si>
    <t>Sparade vårdtillfällen</t>
  </si>
  <si>
    <t>Månadsavlönade</t>
  </si>
  <si>
    <t>Sparade vårdplatser'</t>
  </si>
  <si>
    <t>Antal veckor en SSK/USK arbetar</t>
  </si>
  <si>
    <t>Avgångar</t>
  </si>
  <si>
    <t>Antal återinskrivningar i sluten vård 20-64</t>
  </si>
  <si>
    <t>Antagande om avgångar under 60 år - SSK</t>
  </si>
  <si>
    <t>Sparade månadstjänster per region scenario</t>
  </si>
  <si>
    <t>Sparade vårdplatser</t>
  </si>
  <si>
    <t>Antal disponibla vårdplatser i väntetidsstatistik</t>
  </si>
  <si>
    <t>Vårdplatser som upptas av utskrivningsklara</t>
  </si>
  <si>
    <t>Befolkning 65+ år 2022</t>
  </si>
  <si>
    <t>Slutenvårdstillfällen 2022</t>
  </si>
  <si>
    <t>Genomsnittligt antal - baserat på vårdtillfällen 2022</t>
  </si>
  <si>
    <t>Genomsnittlig vårdtid för vårdskada</t>
  </si>
  <si>
    <t>Minskat vårdplatsbehov i disponibla vårdplatser</t>
  </si>
  <si>
    <t>Riktvärde 2025 i disponibla vårdplatser</t>
  </si>
  <si>
    <t>Resultat riktvärde efter potentiellt minskat vårdplatsbehov</t>
  </si>
  <si>
    <t xml:space="preserve">Resultat i disponibla vårdplatser efter möjlig kapacitetsökning </t>
  </si>
  <si>
    <t xml:space="preserve">Differensen mellan riktvärde och disponibla vårdplatser, saknad av antal disponibla vårdplatser </t>
  </si>
  <si>
    <r>
      <t xml:space="preserve">Minskat </t>
    </r>
    <r>
      <rPr>
        <sz val="10"/>
        <color rgb="FF002744"/>
        <rFont val="Noto Sans"/>
        <family val="2"/>
      </rPr>
      <t>vårdplatsbehov i</t>
    </r>
    <r>
      <rPr>
        <b/>
        <sz val="10"/>
        <color rgb="FF002744"/>
        <rFont val="Noto Sans"/>
        <family val="2"/>
      </rPr>
      <t xml:space="preserve"> antal disponibla vårdplatser</t>
    </r>
  </si>
  <si>
    <t>Antal med långtidssjukfrånvaro 2024</t>
  </si>
  <si>
    <t>Månadsavlönade ssk i somatisk specialistvård 2024</t>
  </si>
  <si>
    <t>Andel sjukfrånvaro i procent 2024</t>
  </si>
  <si>
    <t>Antal månadsanställda i regionen som lämnar sektorn 2023-2024</t>
  </si>
  <si>
    <t>Månadsavlönade ssk i regioner 2024</t>
  </si>
  <si>
    <t>Andel avgångar i procent 2023-2024</t>
  </si>
  <si>
    <t>Personal i somatisk slutenvård som avgår 24 - antaget samman andel som alla regionanställda ssk</t>
  </si>
  <si>
    <t>Medelvårdtid för återinskrivningar 65+ (2023)</t>
  </si>
  <si>
    <t>Vårdtillfällen för 65+ (2023)</t>
  </si>
  <si>
    <t>Medelvårdtid för återinskrivningar 20-64 (2023)</t>
  </si>
  <si>
    <t>Vårdtillfällen för 20-64 (2023)</t>
  </si>
  <si>
    <t>Befolkning 65+ (2023)</t>
  </si>
  <si>
    <t>Medelvårdtid somatisk slutenvård 65+ (2023)</t>
  </si>
  <si>
    <t>Befolkning 20-64 (2023)</t>
  </si>
  <si>
    <t>Befolkning 65+ (2024)</t>
  </si>
  <si>
    <t>Medelvårdtid somatisk slutenvård 65+ år (2024)</t>
  </si>
  <si>
    <t>Medelvårdtid somatisk slutenvård 20-64 (2023)</t>
  </si>
  <si>
    <t>Slutenvårdstillfällen pga fallskada 2023</t>
  </si>
  <si>
    <t>Medelvårdtid med fallskada år 2023</t>
  </si>
  <si>
    <t>Välkommen till verktyget för uppföljning av målsatta mått och vårdplatspotential</t>
  </si>
  <si>
    <r>
      <t xml:space="preserve">Detta verktyg är baserat på rapporten </t>
    </r>
    <r>
      <rPr>
        <i/>
        <sz val="11"/>
        <color theme="1"/>
        <rFont val="Noto Sans"/>
        <family val="2"/>
      </rPr>
      <t xml:space="preserve">Plats för vård </t>
    </r>
    <r>
      <rPr>
        <sz val="11"/>
        <color theme="1"/>
        <rFont val="Noto Sans"/>
        <family val="2"/>
      </rPr>
      <t xml:space="preserve">och är framtagen för att ge en översikt av hur respektive region presterar i de målsatta måtten. Det ger även en uppskattning av hur många vårdplatser som kan frigöras om regionen förbättrar sig till målninvån - eller till en egen vald målnivå. </t>
    </r>
  </si>
  <si>
    <t xml:space="preserve">Vad kan du göra i verktyget: </t>
  </si>
  <si>
    <t>Flikar i excelfilen:</t>
  </si>
  <si>
    <t>Översikt - Målsatta mått</t>
  </si>
  <si>
    <t xml:space="preserve">Så använder du verktyget: </t>
  </si>
  <si>
    <t xml:space="preserve">2. Utforska resultaten och jämför mot målnivåerna. </t>
  </si>
  <si>
    <t xml:space="preserve">Observera: </t>
  </si>
  <si>
    <t>Översikt - Vårdplatspotential</t>
  </si>
  <si>
    <t>Scenario - Egna målnivåer</t>
  </si>
  <si>
    <t xml:space="preserve">Visualiserar hur många vårdplatser som kan frigöras inom varje kapacitetsmått, om målnivåerna uppnås. </t>
  </si>
  <si>
    <t xml:space="preserve">Visualiserar hur många vårdplatser som kan frigöras inom varje behovsmått, om målnivåerna uppnås. </t>
  </si>
  <si>
    <r>
      <t xml:space="preserve">Lista över samtliga ej målsatta mått, grupperade efter fokusområden i </t>
    </r>
    <r>
      <rPr>
        <i/>
        <sz val="11"/>
        <color theme="1"/>
        <rFont val="Noto Sans"/>
        <family val="2"/>
      </rPr>
      <t xml:space="preserve">Plats för vård. </t>
    </r>
  </si>
  <si>
    <t xml:space="preserve">Lista över mått som används för att följa utvecklingen över tid, även dessa sorterade efter fokusområden. </t>
  </si>
  <si>
    <t>1. Välj din region i rullistan:</t>
  </si>
  <si>
    <r>
      <rPr>
        <sz val="11"/>
        <color theme="1"/>
        <rFont val="Aptos Narrow"/>
        <family val="2"/>
      </rPr>
      <t>←</t>
    </r>
    <r>
      <rPr>
        <sz val="11"/>
        <color theme="1"/>
        <rFont val="Noto Sans"/>
        <family val="2"/>
      </rPr>
      <t>Rullista</t>
    </r>
  </si>
  <si>
    <t xml:space="preserve">- Se regionens resultat i de målsatta måtten.
- Se var regionen placerar sig vid jämförelse med övriga regioner avseende måluppfyllelse av de målsatta måtten. 
- Se en uppskattning av hur många vårdplatser som kan frigöras om målnivåerna nås.
- Skatta en egen målnivå per mått och se hur det påverkar potentialen att frigöra vårdplatser. </t>
  </si>
  <si>
    <r>
      <t xml:space="preserve">Sammanställer hur många vårdplatser som kan frigöras genom att nå målnivåerna. Visar även antal disponibla vårdplatser och riktvärde, samt bryter ned potentialen på kapacitets- och behovsmått. Uppledning i kapacitetsmått respektive behovsmått återfinns i rapporten </t>
    </r>
    <r>
      <rPr>
        <i/>
        <sz val="11"/>
        <color theme="1"/>
        <rFont val="Noto Sans"/>
        <family val="2"/>
      </rPr>
      <t xml:space="preserve">Plats för vård, </t>
    </r>
    <r>
      <rPr>
        <sz val="11"/>
        <color theme="1"/>
        <rFont val="Noto Sans"/>
        <family val="2"/>
      </rPr>
      <t xml:space="preserve">tabell 2 respektive 3. </t>
    </r>
  </si>
  <si>
    <t>Här kan du ange egna målnivåer per mått. Verktyget räknar då ut hur många vårdplatser som skulle kunna frigöras, och visar effekten på gapet mellan nuvarande nivå och riktvärdet.</t>
  </si>
  <si>
    <t xml:space="preserve">3. Gå till fliken "Scenario - Egna målnivåer" om du vill testa ett eget mål och se vilken effekt det skulle ha. </t>
  </si>
  <si>
    <t xml:space="preserve">4. Använd informationen som stöd för lokala analyser, beslut eller diskussioner. </t>
  </si>
  <si>
    <r>
      <t xml:space="preserve">- Alla beräkningar bygger på data och antaganden som redovisas i rapporten </t>
    </r>
    <r>
      <rPr>
        <i/>
        <sz val="11"/>
        <color theme="1"/>
        <rFont val="Noto Sans"/>
        <family val="2"/>
      </rPr>
      <t>Plats för vård. 
-</t>
    </r>
    <r>
      <rPr>
        <sz val="11"/>
        <color theme="1"/>
        <rFont val="Noto Sans"/>
        <family val="2"/>
      </rPr>
      <t xml:space="preserve">Modellen är ett stödverktyg och kompletterar - men ersätter inte - annan regional uppföljning. </t>
    </r>
  </si>
  <si>
    <t>Målnivå 2025</t>
  </si>
  <si>
    <r>
      <t xml:space="preserve">Visar samtliga målsatta mått, grupperade efter fokusområden från </t>
    </r>
    <r>
      <rPr>
        <i/>
        <sz val="11"/>
        <color theme="1"/>
        <rFont val="Noto Sans"/>
        <family val="2"/>
      </rPr>
      <t>Plats för vård.</t>
    </r>
    <r>
      <rPr>
        <sz val="11"/>
        <color theme="1"/>
        <rFont val="Noto Sans"/>
        <family val="2"/>
      </rPr>
      <t xml:space="preserve"> Innehåller målnivå för 2025 års uppdatering (baserat på 2024 års data), regionens resultat för år 2024 samt en ranking jämfört med andra regioner (placering 1 = bästa resultat)</t>
    </r>
  </si>
  <si>
    <t xml:space="preserve">Denna översikt redovisar samtliga målsatta mått inom ramen för uppföljningen av planen för att minska vårdplatsbristen. För varje mått anges den nationella målnivån för år 2025 samt resultatet för vald region. 
Regionens resultat jämförs med övriga regioners utfall och rankas utifrån hur väl den uppfyller målnivån - där rang 1 avser bästa utfall i landet. 
Syftet är att ge en samlad bild av de målsatta måtten som är centrala för att nå en långsiktigt hållbar balans mellan behov av och tillgång till vårdplatser. </t>
  </si>
  <si>
    <t>Utveckla systematisk produktions- och kapacitetsstyrning - somatisk vård</t>
  </si>
  <si>
    <t xml:space="preserve">Följande figurer syftar till att illustrera hur de målsatta måtten kan bidra till att frigöra vårdplatser, samt hur detta förhåller sig till både Socialstyrelsen riktvärde för vårdplatser och det faktiska antal disponibla vårdplatser som regionen rapporterat in för 2024. 
- Figur 1 visar en jämförelse mellan det nationella riktvärdet för disponibla vårdplatser, det antal vårdplatser som regionen rapporterat för 2024 samt den uppskattade potentialen att frigöra vårdplatser om samtliga målnivåer uppnås. Syftet är att ge en översikt av nuläget i relation till målet, och att illustrera hur stor del av gapet som teoretisk skulle kunna täckas genom förbättringsarbete. 
- Figur 2 bryter ned denna potential i två delar: förbättringar i kapacitetsmått respektive behovsmått. Detta för att tydliggöra vilka typer av insatser - t.ex. bemanning, vårdflöden eller återinläggningar - som bedöms ha störst påverkan på möjligheten att öka tillgängligheten. 
Vid tolkning bör det beaktas att potentialen bygger på modellskattningar och förutsätter måluppfyllelse. Figurerna ger därmed ett underlag för analys och prioritering, snarare än en exakt prognos. </t>
  </si>
  <si>
    <t>Disponibla vårdplatser</t>
  </si>
  <si>
    <t>Riktvärde 2025 (antal disponibla vårdplatser)</t>
  </si>
  <si>
    <r>
      <t>Hur stor andel av specifika behandlingar eller åtgärder som dagkirurgi, respektive i sluten vård, för definierbara patientgrupper och åtgärder som</t>
    </r>
    <r>
      <rPr>
        <sz val="8"/>
        <rFont val="Noto Sans"/>
        <family val="2"/>
      </rPr>
      <t xml:space="preserve"> är</t>
    </r>
    <r>
      <rPr>
        <sz val="8"/>
        <color theme="1"/>
        <rFont val="Noto Sans"/>
        <family val="2"/>
      </rPr>
      <t xml:space="preserve"> jämförbara mellan verksamheter i syfte att identifiera utrymme till förbättring. Hänsyn behöver tas till exempelvis tillståndets allvarlighetsgrad och eventuell samsjuklighet.</t>
    </r>
  </si>
  <si>
    <t>Andel av sjuksköterskors respektive undersköterskors arbetstid som ägnas åt administration. Administration i vården har idag ingen enhetlig definition.</t>
  </si>
  <si>
    <t>Verksamheter som arbetar med att växla uppgifter från sjuksköterskor och/eller undersköterskor i uttalat syfte att frigöra tid från dessa personalkategorier med ett uttalat mål att öppna vårdplatser.</t>
  </si>
  <si>
    <t>Vårdplatser som drivs i samverkan mellan regional och kommunal primärvård.</t>
  </si>
  <si>
    <t>Avser antal dagar över ett år då en verksamhets beläggningsgrad skiljer sig för mycket från det riktvärde för beläggningsgrad som definierats i den specifika verksamheten.</t>
  </si>
  <si>
    <t>Den tid det tar från att inskrivningsbeslut tas på akutmottagningen till att patienten lämnat akutmottagningen och skrivs in på slutenvårdsavdelning.</t>
  </si>
  <si>
    <t>Planerade operationer som stryks efter kl. 17 dagen före planerad operationsdag.</t>
  </si>
  <si>
    <t>Medelvårdtid för definierabara patientgrupper och vårdflöden som är jämförbara mellan verksamheter för att identifiera utrymme till förbättring. Hänsyn behöver tas till exempelvis tillståndets allvarlighetsgrad och eventuell samsjuklighet.</t>
  </si>
  <si>
    <t xml:space="preserve">"Vårdplatser" i hemmet där vård som traditionellt skulle ges på sjukhus genomförs i patientens ordinära boende. (Notera att en vårdplats definieras som en ligg- eller sittplats på vårdenhet som kan användas för vård och behandling. Således ingår inte vård i hemmet i definitionen av en vårdplats). </t>
  </si>
  <si>
    <t>Andel av totalt antal tjänster där arbetstiden delas mellan mottagning och avdelning och/eller där administrativ personal även har klinisk tjänstgöring.</t>
  </si>
  <si>
    <t>Andel av totalt antal tjänster där arbetstiden enbart förläggs till dagtid.</t>
  </si>
  <si>
    <t>Andel av total arbetstid för sjuksköterskor respektive undersköterskor som ägnas åt uppgifter som hade kunnat utföras av servicemedarbetare.</t>
  </si>
  <si>
    <t>Andel av total arbetstid för sjuksköterskor som helt eller delvis ägnas åt uppgifter som hade kunnat utföras av apotekare och/eller receptarier.</t>
  </si>
  <si>
    <t>Verksamheter som med strukturerade mått eller mallar följer upp inneliggande patienters vårdbehov/vårdintensitet.</t>
  </si>
  <si>
    <r>
      <t xml:space="preserve">Potentialskattning för minskat vårdplatsbehov - </t>
    </r>
    <r>
      <rPr>
        <b/>
        <i/>
        <sz val="12"/>
        <color theme="0"/>
        <rFont val="Noto Sans"/>
        <family val="2"/>
      </rPr>
      <t>bör endast realiseras under förutsättning att vårdplatskapaciteten efter en minskning kommer tillgodose vårdplatsbehovet med bibehållen patientsäkerhet</t>
    </r>
  </si>
  <si>
    <t>*skattar överlappet till cirka 250 vårdplatser totalt nationellt (utifrån att en patient kan tillhöra flera områden)</t>
  </si>
  <si>
    <t>Publicerat utfall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</si>
</sst>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 _k_r_-;\-* #,##0.00\ _k_r_-;_-* &quot;-&quot;??\ _k_r_-;_-@_-"/>
    <numFmt numFmtId="165" formatCode="0.0"/>
    <numFmt numFmtId="166" formatCode="_-* #,##0.0\ _k_r_-;\-* #,##0.0\ _k_r_-;_-* &quot;-&quot;??\ _k_r_-;_-@_-"/>
    <numFmt numFmtId="167" formatCode="_-* #,##0\ _k_r_-;\-* #,##0\ _k_r_-;_-* &quot;-&quot;??\ _k_r_-;_-@_-"/>
    <numFmt numFmtId="168" formatCode="0.0%"/>
    <numFmt numFmtId="169" formatCode="0.000"/>
    <numFmt numFmtId="170" formatCode="_-* #,##0\ _k_r_-;\-* #,##0\ _k_r_-;_-* &quot;-&quot;???\ _k_r_-;_-@_-"/>
    <numFmt numFmtId="171" formatCode="0&quot; &quot;%"/>
  </numFmts>
  <fonts count="78" x14ac:knownFonts="1">
    <font>
      <sz val="11"/>
      <color theme="1"/>
      <name val="Calibri"/>
      <family val="2"/>
      <scheme val="minor"/>
    </font>
    <font>
      <sz val="11"/>
      <color theme="1"/>
      <name val="Calibri"/>
      <family val="2"/>
      <scheme val="minor"/>
    </font>
    <font>
      <sz val="8.5"/>
      <color theme="1"/>
      <name val="Calibri"/>
      <family val="2"/>
      <scheme val="minor"/>
    </font>
    <font>
      <sz val="8"/>
      <color theme="1"/>
      <name val="Calibri"/>
      <family val="2"/>
      <scheme val="minor"/>
    </font>
    <font>
      <b/>
      <sz val="11"/>
      <color rgb="FF000000"/>
      <name val="Calibri"/>
      <family val="2"/>
    </font>
    <font>
      <b/>
      <sz val="11"/>
      <color theme="1"/>
      <name val="Calibri"/>
      <family val="2"/>
      <scheme val="minor"/>
    </font>
    <font>
      <i/>
      <sz val="11"/>
      <color theme="1"/>
      <name val="Calibri"/>
      <family val="2"/>
      <scheme val="minor"/>
    </font>
    <font>
      <b/>
      <sz val="8"/>
      <color theme="1"/>
      <name val="Calibri"/>
      <family val="2"/>
      <scheme val="minor"/>
    </font>
    <font>
      <i/>
      <sz val="8"/>
      <color theme="1"/>
      <name val="Calibri"/>
      <family val="2"/>
      <scheme val="minor"/>
    </font>
    <font>
      <b/>
      <i/>
      <sz val="8"/>
      <color theme="1"/>
      <name val="Calibri"/>
      <family val="2"/>
      <scheme val="minor"/>
    </font>
    <font>
      <sz val="8"/>
      <color theme="1"/>
      <name val="Noto Sans Light"/>
      <family val="2"/>
    </font>
    <font>
      <sz val="8"/>
      <color theme="1"/>
      <name val="Noto Sans"/>
      <family val="2"/>
    </font>
    <font>
      <b/>
      <sz val="8"/>
      <color theme="1"/>
      <name val="Noto Sans"/>
      <family val="2"/>
    </font>
    <font>
      <sz val="8"/>
      <name val="Noto Sans"/>
      <family val="2"/>
    </font>
    <font>
      <b/>
      <sz val="8"/>
      <color theme="0"/>
      <name val="Calibri"/>
      <family val="2"/>
      <scheme val="minor"/>
    </font>
    <font>
      <sz val="8"/>
      <color rgb="FF000000"/>
      <name val="Calibri"/>
      <family val="2"/>
      <scheme val="minor"/>
    </font>
    <font>
      <i/>
      <sz val="8"/>
      <color theme="1"/>
      <name val="Noto Sans"/>
      <family val="2"/>
    </font>
    <font>
      <b/>
      <sz val="8"/>
      <color theme="0"/>
      <name val="Noto Sans"/>
      <family val="2"/>
    </font>
    <font>
      <sz val="8"/>
      <color theme="0"/>
      <name val="Calibri"/>
      <family val="2"/>
      <scheme val="minor"/>
    </font>
    <font>
      <b/>
      <sz val="10"/>
      <color theme="0"/>
      <name val="Noto Sans"/>
      <family val="2"/>
    </font>
    <font>
      <b/>
      <sz val="10"/>
      <color theme="0"/>
      <name val="Calibri"/>
      <family val="2"/>
      <scheme val="minor"/>
    </font>
    <font>
      <sz val="10"/>
      <color theme="0"/>
      <name val="Calibri"/>
      <family val="2"/>
      <scheme val="minor"/>
    </font>
    <font>
      <sz val="8"/>
      <color rgb="FFFF0000"/>
      <name val="Noto Sans"/>
      <family val="2"/>
    </font>
    <font>
      <sz val="20"/>
      <color theme="1"/>
      <name val="Aptos Narrow"/>
      <family val="2"/>
    </font>
    <font>
      <sz val="8.5"/>
      <color theme="1"/>
      <name val="Calibri Light"/>
      <family val="2"/>
      <scheme val="major"/>
    </font>
    <font>
      <b/>
      <sz val="9"/>
      <color indexed="81"/>
      <name val="Tahoma"/>
      <family val="2"/>
    </font>
    <font>
      <sz val="9"/>
      <color indexed="81"/>
      <name val="Tahoma"/>
      <family val="2"/>
    </font>
    <font>
      <u/>
      <sz val="11"/>
      <color theme="10"/>
      <name val="Calibri"/>
      <family val="2"/>
      <scheme val="minor"/>
    </font>
    <font>
      <b/>
      <sz val="12"/>
      <name val="Noto Sans"/>
      <family val="2"/>
    </font>
    <font>
      <b/>
      <sz val="12"/>
      <color theme="6" tint="-0.499984740745262"/>
      <name val="Noto Sans"/>
      <family val="2"/>
    </font>
    <font>
      <b/>
      <sz val="14"/>
      <color theme="6" tint="-0.499984740745262"/>
      <name val="Noto Sans"/>
      <family val="2"/>
    </font>
    <font>
      <b/>
      <sz val="14"/>
      <name val="Noto Sans"/>
      <family val="2"/>
    </font>
    <font>
      <sz val="8.5"/>
      <color theme="1"/>
      <name val="Noto Sans"/>
      <family val="2"/>
    </font>
    <font>
      <sz val="8"/>
      <color theme="0"/>
      <name val="Noto Sans"/>
      <family val="2"/>
    </font>
    <font>
      <b/>
      <sz val="10"/>
      <color theme="2"/>
      <name val="Noto Sans"/>
      <family val="2"/>
    </font>
    <font>
      <b/>
      <sz val="10"/>
      <color rgb="FF002060"/>
      <name val="Noto Sans"/>
      <family val="2"/>
    </font>
    <font>
      <b/>
      <sz val="12"/>
      <color rgb="FF002060"/>
      <name val="Noto Sans"/>
      <family val="2"/>
    </font>
    <font>
      <b/>
      <sz val="9"/>
      <color theme="2"/>
      <name val="Noto Sans"/>
      <family val="2"/>
    </font>
    <font>
      <b/>
      <sz val="14"/>
      <color theme="2"/>
      <name val="Noto Sans"/>
      <family val="2"/>
    </font>
    <font>
      <sz val="8"/>
      <color theme="2"/>
      <name val="Noto Sans"/>
      <family val="2"/>
    </font>
    <font>
      <b/>
      <sz val="12"/>
      <color theme="2"/>
      <name val="Noto Sans"/>
      <family val="2"/>
    </font>
    <font>
      <b/>
      <sz val="16"/>
      <color theme="2"/>
      <name val="Noto Sans"/>
      <family val="2"/>
    </font>
    <font>
      <b/>
      <sz val="10"/>
      <color theme="6" tint="-0.499984740745262"/>
      <name val="Noto Sans"/>
      <family val="2"/>
    </font>
    <font>
      <sz val="10"/>
      <name val="Noto Sans"/>
      <family val="2"/>
    </font>
    <font>
      <sz val="12"/>
      <color theme="2"/>
      <name val="Noto Sans"/>
      <family val="2"/>
    </font>
    <font>
      <b/>
      <sz val="12"/>
      <color theme="0"/>
      <name val="Noto Sans"/>
      <family val="2"/>
    </font>
    <font>
      <b/>
      <sz val="10"/>
      <color rgb="FF002744"/>
      <name val="Noto Sans"/>
      <family val="2"/>
    </font>
    <font>
      <b/>
      <sz val="10"/>
      <color theme="1"/>
      <name val="Noto Sans"/>
      <family val="2"/>
    </font>
    <font>
      <b/>
      <sz val="10"/>
      <name val="Noto Sans"/>
      <family val="2"/>
    </font>
    <font>
      <sz val="10"/>
      <color rgb="FF002744"/>
      <name val="Noto Sans"/>
      <family val="2"/>
    </font>
    <font>
      <b/>
      <sz val="12"/>
      <color rgb="FF002744"/>
      <name val="Noto Sans"/>
      <family val="2"/>
    </font>
    <font>
      <b/>
      <sz val="8"/>
      <color theme="6" tint="-0.499984740745262"/>
      <name val="Noto Sans"/>
      <family val="2"/>
    </font>
    <font>
      <sz val="8"/>
      <color theme="0" tint="-4.9989318521683403E-2"/>
      <name val="Noto Sans"/>
      <family val="2"/>
    </font>
    <font>
      <sz val="8.5"/>
      <color theme="0"/>
      <name val="Noto Sans"/>
      <family val="2"/>
    </font>
    <font>
      <sz val="11"/>
      <color theme="1"/>
      <name val="Noto Sans"/>
      <family val="2"/>
    </font>
    <font>
      <b/>
      <sz val="11"/>
      <color rgb="FF002744"/>
      <name val="Noto Sans"/>
      <family val="2"/>
    </font>
    <font>
      <b/>
      <sz val="8"/>
      <color rgb="FF305496"/>
      <name val="Noto Sans"/>
      <family val="2"/>
    </font>
    <font>
      <b/>
      <sz val="8"/>
      <color rgb="FF002744"/>
      <name val="Noto Sans"/>
      <family val="2"/>
    </font>
    <font>
      <sz val="9"/>
      <color theme="1"/>
      <name val="Noto Sans"/>
      <family val="2"/>
    </font>
    <font>
      <b/>
      <sz val="11"/>
      <color theme="1"/>
      <name val="Noto Sans"/>
      <family val="2"/>
    </font>
    <font>
      <i/>
      <sz val="11"/>
      <color theme="1"/>
      <name val="Noto Sans"/>
      <family val="2"/>
    </font>
    <font>
      <b/>
      <sz val="14"/>
      <color theme="1"/>
      <name val="Noto Sans"/>
      <family val="2"/>
    </font>
    <font>
      <u/>
      <sz val="11"/>
      <color rgb="FF002744"/>
      <name val="Noto Sans"/>
      <family val="2"/>
    </font>
    <font>
      <sz val="9"/>
      <color theme="1"/>
      <name val="Calibri"/>
      <family val="2"/>
      <scheme val="minor"/>
    </font>
    <font>
      <b/>
      <sz val="9"/>
      <color theme="0"/>
      <name val="Noto Sans"/>
      <family val="2"/>
    </font>
    <font>
      <sz val="9"/>
      <color theme="0"/>
      <name val="Noto Sans SemiBold"/>
      <family val="2"/>
    </font>
    <font>
      <sz val="9"/>
      <color theme="1"/>
      <name val="Noto Sans Light"/>
      <family val="2"/>
    </font>
    <font>
      <b/>
      <sz val="9"/>
      <color theme="1"/>
      <name val="Noto Sans"/>
      <family val="2"/>
    </font>
    <font>
      <sz val="9"/>
      <name val="Noto Sans"/>
      <family val="2"/>
    </font>
    <font>
      <u/>
      <sz val="11"/>
      <color theme="0"/>
      <name val="Noto Sans"/>
      <family val="2"/>
    </font>
    <font>
      <sz val="11"/>
      <color theme="0"/>
      <name val="Noto Sans"/>
      <family val="2"/>
    </font>
    <font>
      <sz val="11"/>
      <color theme="1"/>
      <name val="Aptos Narrow"/>
      <family val="2"/>
    </font>
    <font>
      <sz val="11"/>
      <name val="Noto Sans"/>
      <family val="2"/>
    </font>
    <font>
      <u/>
      <sz val="11"/>
      <color theme="10"/>
      <name val="Noto Sans"/>
      <family val="2"/>
    </font>
    <font>
      <b/>
      <sz val="11"/>
      <color theme="0"/>
      <name val="Noto Sans"/>
      <family val="2"/>
    </font>
    <font>
      <b/>
      <i/>
      <sz val="12"/>
      <color theme="0"/>
      <name val="Noto Sans"/>
      <family val="2"/>
    </font>
    <font>
      <i/>
      <sz val="9"/>
      <color theme="1"/>
      <name val="Noto Sans"/>
      <family val="2"/>
    </font>
    <font>
      <b/>
      <sz val="11"/>
      <name val="Noto Sans"/>
      <family val="2"/>
    </font>
  </fonts>
  <fills count="27">
    <fill>
      <patternFill patternType="none"/>
    </fill>
    <fill>
      <patternFill patternType="gray125"/>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bgColor indexed="64"/>
      </patternFill>
    </fill>
    <fill>
      <patternFill patternType="solid">
        <fgColor rgb="FF002B45"/>
        <bgColor indexed="64"/>
      </patternFill>
    </fill>
    <fill>
      <patternFill patternType="solid">
        <fgColor theme="0"/>
        <bgColor indexed="64"/>
      </patternFill>
    </fill>
    <fill>
      <patternFill patternType="solid">
        <fgColor theme="7" tint="0.79998168889431442"/>
        <bgColor indexed="64"/>
      </patternFill>
    </fill>
    <fill>
      <patternFill patternType="solid">
        <fgColor theme="9"/>
        <bgColor indexed="64"/>
      </patternFill>
    </fill>
    <fill>
      <patternFill patternType="solid">
        <fgColor rgb="FFA5D1B0"/>
        <bgColor indexed="64"/>
      </patternFill>
    </fill>
    <fill>
      <patternFill patternType="solid">
        <fgColor rgb="FFFFCACB"/>
        <bgColor indexed="64"/>
      </patternFill>
    </fill>
    <fill>
      <patternFill patternType="solid">
        <fgColor rgb="FF92D050"/>
        <bgColor indexed="64"/>
      </patternFill>
    </fill>
    <fill>
      <patternFill patternType="solid">
        <fgColor rgb="FFD4F0F6"/>
        <bgColor indexed="64"/>
      </patternFill>
    </fill>
    <fill>
      <patternFill patternType="solid">
        <fgColor rgb="FF002744"/>
        <bgColor indexed="64"/>
      </patternFill>
    </fill>
    <fill>
      <patternFill patternType="solid">
        <fgColor rgb="FFF9E0A7"/>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305496"/>
        <bgColor indexed="64"/>
      </patternFill>
    </fill>
    <fill>
      <patternFill patternType="solid">
        <fgColor rgb="FF007DC5"/>
        <bgColor indexed="64"/>
      </patternFill>
    </fill>
    <fill>
      <patternFill patternType="solid">
        <fgColor rgb="FF00A380"/>
        <bgColor indexed="64"/>
      </patternFill>
    </fill>
    <fill>
      <patternFill patternType="solid">
        <fgColor rgb="FFECB94F"/>
        <bgColor indexed="64"/>
      </patternFill>
    </fill>
    <fill>
      <patternFill patternType="solid">
        <fgColor rgb="FFF8F2E8"/>
        <bgColor indexed="64"/>
      </patternFill>
    </fill>
    <fill>
      <patternFill patternType="solid">
        <fgColor rgb="FFFCFAF5"/>
        <bgColor indexed="64"/>
      </patternFill>
    </fill>
    <fill>
      <patternFill patternType="solid">
        <fgColor rgb="FFDBF0F6"/>
        <bgColor indexed="64"/>
      </patternFill>
    </fill>
    <fill>
      <patternFill patternType="solid">
        <fgColor theme="5" tint="-0.249977111117893"/>
        <bgColor indexed="64"/>
      </patternFill>
    </fill>
    <fill>
      <patternFill patternType="solid">
        <fgColor theme="4" tint="-0.249977111117893"/>
        <bgColor indexed="64"/>
      </patternFill>
    </fill>
  </fills>
  <borders count="1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bottom style="thin">
        <color indexed="64"/>
      </bottom>
      <diagonal/>
    </border>
    <border>
      <left/>
      <right style="double">
        <color indexed="64"/>
      </right>
      <top/>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right/>
      <top style="thin">
        <color indexed="64"/>
      </top>
      <bottom/>
      <diagonal/>
    </border>
    <border>
      <left style="double">
        <color indexed="64"/>
      </left>
      <right/>
      <top style="thin">
        <color indexed="64"/>
      </top>
      <bottom style="thin">
        <color indexed="64"/>
      </bottom>
      <diagonal/>
    </border>
    <border>
      <left/>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
      <left/>
      <right/>
      <top/>
      <bottom style="dashDot">
        <color theme="0"/>
      </bottom>
      <diagonal/>
    </border>
    <border>
      <left/>
      <right/>
      <top style="medium">
        <color theme="6" tint="-0.499984740745262"/>
      </top>
      <bottom style="medium">
        <color theme="6" tint="-0.499984740745262"/>
      </bottom>
      <diagonal/>
    </border>
    <border>
      <left/>
      <right style="medium">
        <color theme="6" tint="-0.499984740745262"/>
      </right>
      <top style="medium">
        <color theme="6" tint="-0.499984740745262"/>
      </top>
      <bottom style="medium">
        <color theme="6" tint="-0.499984740745262"/>
      </bottom>
      <diagonal/>
    </border>
    <border>
      <left style="medium">
        <color theme="6" tint="-0.499984740745262"/>
      </left>
      <right/>
      <top style="medium">
        <color theme="6" tint="-0.499984740745262"/>
      </top>
      <bottom/>
      <diagonal/>
    </border>
    <border>
      <left/>
      <right/>
      <top style="medium">
        <color theme="6" tint="-0.499984740745262"/>
      </top>
      <bottom/>
      <diagonal/>
    </border>
    <border>
      <left/>
      <right style="medium">
        <color theme="6" tint="-0.499984740745262"/>
      </right>
      <top style="medium">
        <color theme="6" tint="-0.499984740745262"/>
      </top>
      <bottom/>
      <diagonal/>
    </border>
    <border>
      <left style="medium">
        <color theme="6" tint="-0.499984740745262"/>
      </left>
      <right/>
      <top/>
      <bottom/>
      <diagonal/>
    </border>
    <border>
      <left/>
      <right style="medium">
        <color theme="6" tint="-0.499984740745262"/>
      </right>
      <top/>
      <bottom/>
      <diagonal/>
    </border>
    <border>
      <left style="thin">
        <color theme="0"/>
      </left>
      <right style="thin">
        <color theme="0"/>
      </right>
      <top style="thin">
        <color theme="0"/>
      </top>
      <bottom style="thin">
        <color theme="0"/>
      </bottom>
      <diagonal/>
    </border>
    <border>
      <left/>
      <right style="dashDotDot">
        <color indexed="64"/>
      </right>
      <top style="dashDotDot">
        <color indexed="64"/>
      </top>
      <bottom/>
      <diagonal/>
    </border>
    <border>
      <left style="thin">
        <color theme="0"/>
      </left>
      <right/>
      <top style="thin">
        <color theme="0"/>
      </top>
      <bottom style="thin">
        <color theme="0"/>
      </bottom>
      <diagonal/>
    </border>
    <border>
      <left style="dashDot">
        <color theme="1"/>
      </left>
      <right style="dashDot">
        <color theme="1"/>
      </right>
      <top style="dashDot">
        <color theme="1"/>
      </top>
      <bottom style="dashDot">
        <color theme="1"/>
      </bottom>
      <diagonal/>
    </border>
    <border>
      <left style="medium">
        <color theme="6" tint="-0.499984740745262"/>
      </left>
      <right/>
      <top/>
      <bottom style="medium">
        <color theme="6" tint="-0.499984740745262"/>
      </bottom>
      <diagonal/>
    </border>
    <border>
      <left/>
      <right/>
      <top/>
      <bottom style="medium">
        <color theme="6" tint="-0.499984740745262"/>
      </bottom>
      <diagonal/>
    </border>
    <border>
      <left/>
      <right style="medium">
        <color theme="6" tint="-0.499984740745262"/>
      </right>
      <top/>
      <bottom style="medium">
        <color theme="6" tint="-0.499984740745262"/>
      </bottom>
      <diagonal/>
    </border>
    <border>
      <left style="dashDotDot">
        <color indexed="64"/>
      </left>
      <right style="dashDotDot">
        <color indexed="64"/>
      </right>
      <top style="dashDotDot">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theme="0"/>
      </bottom>
      <diagonal/>
    </border>
    <border>
      <left style="medium">
        <color indexed="64"/>
      </left>
      <right/>
      <top/>
      <bottom style="medium">
        <color indexed="64"/>
      </bottom>
      <diagonal/>
    </border>
    <border>
      <left/>
      <right/>
      <top/>
      <bottom style="medium">
        <color indexed="64"/>
      </bottom>
      <diagonal/>
    </border>
    <border>
      <left/>
      <right/>
      <top style="medium">
        <color theme="6" tint="-0.499984740745262"/>
      </top>
      <bottom style="medium">
        <color indexed="64"/>
      </bottom>
      <diagonal/>
    </border>
    <border>
      <left/>
      <right style="medium">
        <color indexed="64"/>
      </right>
      <top/>
      <bottom style="medium">
        <color indexed="64"/>
      </bottom>
      <diagonal/>
    </border>
    <border>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style="medium">
        <color theme="6" tint="-0.499984740745262"/>
      </bottom>
      <diagonal/>
    </border>
    <border>
      <left/>
      <right style="thin">
        <color rgb="FF002060"/>
      </right>
      <top/>
      <bottom/>
      <diagonal/>
    </border>
    <border>
      <left style="thin">
        <color rgb="FF002060"/>
      </left>
      <right/>
      <top/>
      <bottom style="thin">
        <color rgb="FF002060"/>
      </bottom>
      <diagonal/>
    </border>
    <border>
      <left/>
      <right style="thin">
        <color rgb="FF002060"/>
      </right>
      <top/>
      <bottom style="thin">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theme="6" tint="-0.499984740745262"/>
      </left>
      <right style="thin">
        <color rgb="FF002744"/>
      </right>
      <top/>
      <bottom/>
      <diagonal/>
    </border>
    <border>
      <left style="thin">
        <color rgb="FF002744"/>
      </left>
      <right/>
      <top/>
      <bottom style="thin">
        <color rgb="FF002744"/>
      </bottom>
      <diagonal/>
    </border>
    <border>
      <left/>
      <right/>
      <top/>
      <bottom style="thin">
        <color rgb="FF002744"/>
      </bottom>
      <diagonal/>
    </border>
    <border>
      <left style="thin">
        <color rgb="FF002744"/>
      </left>
      <right/>
      <top style="thin">
        <color rgb="FF002744"/>
      </top>
      <bottom style="thin">
        <color rgb="FF002744"/>
      </bottom>
      <diagonal/>
    </border>
    <border>
      <left style="dashDot">
        <color theme="1"/>
      </left>
      <right/>
      <top style="thin">
        <color rgb="FF002744"/>
      </top>
      <bottom style="thin">
        <color rgb="FF002744"/>
      </bottom>
      <diagonal/>
    </border>
    <border>
      <left style="thin">
        <color indexed="64"/>
      </left>
      <right style="thin">
        <color rgb="FF002744"/>
      </right>
      <top style="thin">
        <color rgb="FF002744"/>
      </top>
      <bottom style="thin">
        <color rgb="FF002744"/>
      </bottom>
      <diagonal/>
    </border>
    <border>
      <left/>
      <right style="thin">
        <color indexed="64"/>
      </right>
      <top style="thin">
        <color theme="0"/>
      </top>
      <bottom/>
      <diagonal/>
    </border>
    <border>
      <left/>
      <right/>
      <top style="thin">
        <color rgb="FF002744"/>
      </top>
      <bottom style="thin">
        <color rgb="FF002744"/>
      </bottom>
      <diagonal/>
    </border>
    <border>
      <left/>
      <right style="thin">
        <color rgb="FF002744"/>
      </right>
      <top style="thin">
        <color rgb="FF002744"/>
      </top>
      <bottom style="thin">
        <color rgb="FF002744"/>
      </bottom>
      <diagonal/>
    </border>
    <border>
      <left style="medium">
        <color indexed="64"/>
      </left>
      <right style="thin">
        <color rgb="FF002744"/>
      </right>
      <top/>
      <bottom/>
      <diagonal/>
    </border>
    <border>
      <left/>
      <right style="thin">
        <color rgb="FF002744"/>
      </right>
      <top/>
      <bottom style="medium">
        <color indexed="64"/>
      </bottom>
      <diagonal/>
    </border>
    <border>
      <left/>
      <right style="thin">
        <color rgb="FF002744"/>
      </right>
      <top/>
      <bottom style="thin">
        <color rgb="FF002744"/>
      </bottom>
      <diagonal/>
    </border>
    <border>
      <left/>
      <right/>
      <top style="thin">
        <color theme="6" tint="-0.499984740745262"/>
      </top>
      <bottom style="thin">
        <color theme="6" tint="-0.499984740745262"/>
      </bottom>
      <diagonal/>
    </border>
    <border>
      <left/>
      <right/>
      <top style="thin">
        <color theme="6" tint="-0.499984740745262"/>
      </top>
      <bottom/>
      <diagonal/>
    </border>
    <border>
      <left style="medium">
        <color rgb="FF002744"/>
      </left>
      <right/>
      <top/>
      <bottom style="medium">
        <color rgb="FF002744"/>
      </bottom>
      <diagonal/>
    </border>
    <border>
      <left style="thin">
        <color theme="6" tint="-0.499984740745262"/>
      </left>
      <right style="medium">
        <color rgb="FF002744"/>
      </right>
      <top style="thin">
        <color theme="6" tint="-0.499984740745262"/>
      </top>
      <bottom style="thin">
        <color theme="6" tint="-0.499984740745262"/>
      </bottom>
      <diagonal/>
    </border>
    <border>
      <left style="thin">
        <color theme="6" tint="-0.499984740745262"/>
      </left>
      <right style="medium">
        <color rgb="FF002744"/>
      </right>
      <top style="thin">
        <color theme="6" tint="-0.499984740745262"/>
      </top>
      <bottom/>
      <diagonal/>
    </border>
    <border>
      <left style="thin">
        <color theme="6" tint="-0.499984740745262"/>
      </left>
      <right style="medium">
        <color rgb="FF002744"/>
      </right>
      <top/>
      <bottom style="medium">
        <color rgb="FF002744"/>
      </bottom>
      <diagonal/>
    </border>
    <border>
      <left/>
      <right/>
      <top style="medium">
        <color rgb="FF002744"/>
      </top>
      <bottom style="medium">
        <color rgb="FF002744"/>
      </bottom>
      <diagonal/>
    </border>
    <border>
      <left style="medium">
        <color rgb="FF002744"/>
      </left>
      <right/>
      <top style="medium">
        <color rgb="FF002744"/>
      </top>
      <bottom style="medium">
        <color rgb="FF002744"/>
      </bottom>
      <diagonal/>
    </border>
    <border>
      <left/>
      <right/>
      <top/>
      <bottom style="medium">
        <color rgb="FF002744"/>
      </bottom>
      <diagonal/>
    </border>
    <border>
      <left style="thin">
        <color theme="6" tint="-0.499984740745262"/>
      </left>
      <right style="medium">
        <color rgb="FF002744"/>
      </right>
      <top style="medium">
        <color rgb="FF002744"/>
      </top>
      <bottom style="medium">
        <color rgb="FF002744"/>
      </bottom>
      <diagonal/>
    </border>
    <border>
      <left/>
      <right style="medium">
        <color rgb="FF002744"/>
      </right>
      <top/>
      <bottom/>
      <diagonal/>
    </border>
    <border>
      <left/>
      <right style="medium">
        <color rgb="FF002744"/>
      </right>
      <top/>
      <bottom style="medium">
        <color rgb="FF002744"/>
      </bottom>
      <diagonal/>
    </border>
    <border>
      <left/>
      <right style="medium">
        <color rgb="FF002744"/>
      </right>
      <top style="thin">
        <color theme="6" tint="-0.499984740745262"/>
      </top>
      <bottom style="thin">
        <color theme="6" tint="-0.499984740745262"/>
      </bottom>
      <diagonal/>
    </border>
    <border>
      <left/>
      <right style="medium">
        <color rgb="FF002744"/>
      </right>
      <top style="medium">
        <color rgb="FF002744"/>
      </top>
      <bottom style="medium">
        <color rgb="FF002744"/>
      </bottom>
      <diagonal/>
    </border>
    <border>
      <left/>
      <right style="medium">
        <color rgb="FF002744"/>
      </right>
      <top style="medium">
        <color rgb="FF002744"/>
      </top>
      <bottom/>
      <diagonal/>
    </border>
    <border>
      <left style="medium">
        <color rgb="FF002744"/>
      </left>
      <right/>
      <top style="medium">
        <color rgb="FF002744"/>
      </top>
      <bottom style="thin">
        <color theme="6" tint="-0.499984740745262"/>
      </bottom>
      <diagonal/>
    </border>
    <border>
      <left/>
      <right style="thin">
        <color theme="6" tint="-0.499984740745262"/>
      </right>
      <top style="medium">
        <color rgb="FF002744"/>
      </top>
      <bottom style="thin">
        <color theme="6" tint="-0.499984740745262"/>
      </bottom>
      <diagonal/>
    </border>
    <border>
      <left/>
      <right style="medium">
        <color rgb="FF002744"/>
      </right>
      <top style="medium">
        <color rgb="FF002744"/>
      </top>
      <bottom style="thin">
        <color indexed="64"/>
      </bottom>
      <diagonal/>
    </border>
    <border>
      <left style="medium">
        <color rgb="FF002744"/>
      </left>
      <right/>
      <top style="thin">
        <color theme="6" tint="-0.499984740745262"/>
      </top>
      <bottom style="thin">
        <color theme="6" tint="-0.499984740745262"/>
      </bottom>
      <diagonal/>
    </border>
    <border>
      <left/>
      <right style="medium">
        <color rgb="FF002744"/>
      </right>
      <top style="thin">
        <color indexed="64"/>
      </top>
      <bottom style="thin">
        <color indexed="64"/>
      </bottom>
      <diagonal/>
    </border>
    <border>
      <left style="medium">
        <color rgb="FF002744"/>
      </left>
      <right style="thin">
        <color theme="6" tint="-0.499984740745262"/>
      </right>
      <top style="thin">
        <color theme="6" tint="-0.499984740745262"/>
      </top>
      <bottom style="medium">
        <color theme="6" tint="-0.499984740745262"/>
      </bottom>
      <diagonal/>
    </border>
    <border>
      <left/>
      <right style="medium">
        <color rgb="FF002744"/>
      </right>
      <top style="thin">
        <color indexed="64"/>
      </top>
      <bottom style="medium">
        <color theme="6" tint="-0.499984740745262"/>
      </bottom>
      <diagonal/>
    </border>
    <border>
      <left style="medium">
        <color rgb="FF002744"/>
      </left>
      <right style="thin">
        <color theme="6" tint="-0.499984740745262"/>
      </right>
      <top style="thin">
        <color theme="6" tint="-0.499984740745262"/>
      </top>
      <bottom style="medium">
        <color rgb="FF002744"/>
      </bottom>
      <diagonal/>
    </border>
    <border>
      <left style="thin">
        <color theme="6" tint="-0.499984740745262"/>
      </left>
      <right style="thin">
        <color theme="6" tint="-0.499984740745262"/>
      </right>
      <top style="thin">
        <color theme="6" tint="-0.499984740745262"/>
      </top>
      <bottom style="medium">
        <color rgb="FF002744"/>
      </bottom>
      <diagonal/>
    </border>
    <border>
      <left/>
      <right style="medium">
        <color rgb="FF002744"/>
      </right>
      <top style="thin">
        <color indexed="64"/>
      </top>
      <bottom style="medium">
        <color rgb="FF002744"/>
      </bottom>
      <diagonal/>
    </border>
    <border>
      <left style="medium">
        <color rgb="FF002744"/>
      </left>
      <right/>
      <top style="medium">
        <color rgb="FF002744"/>
      </top>
      <bottom/>
      <diagonal/>
    </border>
    <border>
      <left/>
      <right/>
      <top style="medium">
        <color rgb="FF002744"/>
      </top>
      <bottom/>
      <diagonal/>
    </border>
    <border>
      <left style="medium">
        <color rgb="FF002744"/>
      </left>
      <right/>
      <top/>
      <bottom/>
      <diagonal/>
    </border>
    <border>
      <left/>
      <right style="medium">
        <color rgb="FF002744"/>
      </right>
      <top style="medium">
        <color theme="6" tint="-0.499984740745262"/>
      </top>
      <bottom style="thin">
        <color indexed="64"/>
      </bottom>
      <diagonal/>
    </border>
    <border>
      <left/>
      <right style="medium">
        <color rgb="FF002744"/>
      </right>
      <top style="medium">
        <color theme="6" tint="-0.499984740745262"/>
      </top>
      <bottom style="medium">
        <color rgb="FF002744"/>
      </bottom>
      <diagonal/>
    </border>
    <border>
      <left/>
      <right style="medium">
        <color rgb="FF002744"/>
      </right>
      <top/>
      <bottom style="thin">
        <color indexed="64"/>
      </bottom>
      <diagonal/>
    </border>
    <border>
      <left/>
      <right style="thin">
        <color theme="6" tint="-0.499984740745262"/>
      </right>
      <top style="medium">
        <color rgb="FF002744"/>
      </top>
      <bottom style="medium">
        <color rgb="FF002744"/>
      </bottom>
      <diagonal/>
    </border>
    <border>
      <left/>
      <right style="thin">
        <color theme="6" tint="-0.499984740745262"/>
      </right>
      <top/>
      <bottom/>
      <diagonal/>
    </border>
    <border>
      <left/>
      <right style="thin">
        <color theme="6" tint="-0.499984740745262"/>
      </right>
      <top style="medium">
        <color rgb="FF002744"/>
      </top>
      <bottom/>
      <diagonal/>
    </border>
    <border>
      <left/>
      <right style="thin">
        <color theme="6" tint="-0.499984740745262"/>
      </right>
      <top/>
      <bottom style="medium">
        <color rgb="FF002744"/>
      </bottom>
      <diagonal/>
    </border>
    <border>
      <left style="thin">
        <color theme="6" tint="-0.499984740745262"/>
      </left>
      <right style="medium">
        <color rgb="FF002744"/>
      </right>
      <top style="medium">
        <color rgb="FF002744"/>
      </top>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rgb="FF002060"/>
      </left>
      <right style="thin">
        <color rgb="FF002060"/>
      </right>
      <top style="thin">
        <color rgb="FF002060"/>
      </top>
      <bottom/>
      <diagonal/>
    </border>
    <border>
      <left style="thin">
        <color rgb="FF002060"/>
      </left>
      <right style="thin">
        <color rgb="FF002060"/>
      </right>
      <top/>
      <bottom/>
      <diagonal/>
    </border>
    <border>
      <left style="thin">
        <color rgb="FF002060"/>
      </left>
      <right style="thin">
        <color rgb="FF002060"/>
      </right>
      <top/>
      <bottom style="thin">
        <color rgb="FF002060"/>
      </bottom>
      <diagonal/>
    </border>
    <border>
      <left/>
      <right/>
      <top style="dashDotDot">
        <color indexed="64"/>
      </top>
      <bottom/>
      <diagonal/>
    </border>
    <border>
      <left style="dashDot">
        <color indexed="64"/>
      </left>
      <right/>
      <top/>
      <bottom/>
      <diagonal/>
    </border>
    <border>
      <left/>
      <right/>
      <top style="dashDot">
        <color indexed="64"/>
      </top>
      <bottom/>
      <diagonal/>
    </border>
    <border>
      <left/>
      <right style="dashDot">
        <color indexed="64"/>
      </right>
      <top style="dashDotDot">
        <color indexed="64"/>
      </top>
      <bottom style="dashDot">
        <color indexed="64"/>
      </bottom>
      <diagonal/>
    </border>
    <border>
      <left style="dashDot">
        <color theme="1"/>
      </left>
      <right style="dashDot">
        <color theme="1"/>
      </right>
      <top style="dashDot">
        <color theme="1"/>
      </top>
      <bottom/>
      <diagonal/>
    </border>
    <border>
      <left style="dashDot">
        <color theme="1"/>
      </left>
      <right style="dashDot">
        <color theme="1"/>
      </right>
      <top/>
      <bottom/>
      <diagonal/>
    </border>
  </borders>
  <cellStyleXfs count="7">
    <xf numFmtId="0" fontId="0" fillId="0" borderId="0"/>
    <xf numFmtId="0" fontId="2" fillId="0" borderId="0"/>
    <xf numFmtId="43"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171" fontId="24" fillId="0" borderId="0" applyFill="0" applyBorder="0" applyAlignment="0" applyProtection="0"/>
    <xf numFmtId="0" fontId="27" fillId="0" borderId="0" applyNumberFormat="0" applyFill="0" applyBorder="0" applyAlignment="0" applyProtection="0"/>
  </cellStyleXfs>
  <cellXfs count="438">
    <xf numFmtId="0" fontId="0" fillId="0" borderId="0" xfId="0"/>
    <xf numFmtId="0" fontId="3" fillId="0" borderId="0" xfId="1" applyFont="1"/>
    <xf numFmtId="0" fontId="2" fillId="0" borderId="0" xfId="1"/>
    <xf numFmtId="9" fontId="2" fillId="0" borderId="0" xfId="1" applyNumberFormat="1"/>
    <xf numFmtId="9" fontId="3" fillId="0" borderId="0" xfId="1" applyNumberFormat="1" applyFont="1"/>
    <xf numFmtId="0" fontId="3" fillId="0" borderId="0" xfId="1" applyFont="1" applyAlignment="1">
      <alignment wrapText="1"/>
    </xf>
    <xf numFmtId="0" fontId="4" fillId="0" borderId="0" xfId="0" applyFont="1"/>
    <xf numFmtId="1" fontId="0" fillId="0" borderId="0" xfId="0" applyNumberFormat="1"/>
    <xf numFmtId="166" fontId="3" fillId="2" borderId="1" xfId="3" applyNumberFormat="1" applyFont="1" applyFill="1" applyBorder="1"/>
    <xf numFmtId="167" fontId="3" fillId="2" borderId="1" xfId="3" applyNumberFormat="1" applyFont="1" applyFill="1" applyBorder="1"/>
    <xf numFmtId="168" fontId="3" fillId="3" borderId="1" xfId="1" applyNumberFormat="1" applyFont="1" applyFill="1" applyBorder="1"/>
    <xf numFmtId="165" fontId="0" fillId="0" borderId="0" xfId="0" applyNumberFormat="1" applyAlignment="1">
      <alignment horizontal="right" indent="1"/>
    </xf>
    <xf numFmtId="165" fontId="5" fillId="0" borderId="0" xfId="0" applyNumberFormat="1" applyFont="1" applyAlignment="1">
      <alignment horizontal="right" indent="1"/>
    </xf>
    <xf numFmtId="0" fontId="5" fillId="0" borderId="0" xfId="0" applyFont="1" applyAlignment="1">
      <alignment horizontal="right"/>
    </xf>
    <xf numFmtId="3" fontId="0" fillId="0" borderId="0" xfId="0" applyNumberFormat="1"/>
    <xf numFmtId="3" fontId="6" fillId="0" borderId="0" xfId="0" applyNumberFormat="1" applyFont="1"/>
    <xf numFmtId="165" fontId="6" fillId="0" borderId="0" xfId="0" applyNumberFormat="1" applyFont="1" applyAlignment="1">
      <alignment horizontal="right" indent="1"/>
    </xf>
    <xf numFmtId="168" fontId="3" fillId="0" borderId="0" xfId="1" applyNumberFormat="1" applyFont="1"/>
    <xf numFmtId="0" fontId="8" fillId="0" borderId="0" xfId="1" applyFont="1"/>
    <xf numFmtId="168" fontId="8" fillId="0" borderId="0" xfId="1" applyNumberFormat="1" applyFont="1"/>
    <xf numFmtId="0" fontId="3" fillId="3" borderId="0" xfId="1" applyFont="1" applyFill="1"/>
    <xf numFmtId="165" fontId="3" fillId="3" borderId="0" xfId="1" applyNumberFormat="1" applyFont="1" applyFill="1"/>
    <xf numFmtId="0" fontId="4" fillId="3" borderId="0" xfId="0" applyFont="1" applyFill="1"/>
    <xf numFmtId="9" fontId="3" fillId="2" borderId="1" xfId="3" applyNumberFormat="1" applyFont="1" applyFill="1" applyBorder="1"/>
    <xf numFmtId="9" fontId="3" fillId="3" borderId="0" xfId="1" applyNumberFormat="1" applyFont="1" applyFill="1"/>
    <xf numFmtId="167" fontId="3" fillId="2" borderId="4" xfId="3" applyNumberFormat="1" applyFont="1" applyFill="1" applyBorder="1"/>
    <xf numFmtId="165" fontId="3" fillId="2" borderId="4" xfId="1" applyNumberFormat="1" applyFont="1" applyFill="1" applyBorder="1"/>
    <xf numFmtId="9" fontId="8" fillId="0" borderId="0" xfId="1" applyNumberFormat="1" applyFont="1"/>
    <xf numFmtId="165" fontId="9" fillId="0" borderId="0" xfId="1" applyNumberFormat="1" applyFont="1"/>
    <xf numFmtId="165" fontId="7" fillId="3" borderId="0" xfId="1" applyNumberFormat="1" applyFont="1" applyFill="1"/>
    <xf numFmtId="167" fontId="8" fillId="0" borderId="0" xfId="1" applyNumberFormat="1" applyFont="1"/>
    <xf numFmtId="9" fontId="9" fillId="0" borderId="0" xfId="1" applyNumberFormat="1" applyFont="1"/>
    <xf numFmtId="9" fontId="7" fillId="3" borderId="0" xfId="1" applyNumberFormat="1" applyFont="1" applyFill="1"/>
    <xf numFmtId="168" fontId="3" fillId="3" borderId="0" xfId="1" applyNumberFormat="1" applyFont="1" applyFill="1"/>
    <xf numFmtId="168" fontId="9" fillId="0" borderId="0" xfId="1" applyNumberFormat="1" applyFont="1"/>
    <xf numFmtId="168" fontId="7" fillId="3" borderId="0" xfId="1" applyNumberFormat="1" applyFont="1" applyFill="1"/>
    <xf numFmtId="1" fontId="8" fillId="0" borderId="0" xfId="1" applyNumberFormat="1" applyFont="1"/>
    <xf numFmtId="168" fontId="9" fillId="5" borderId="0" xfId="1" applyNumberFormat="1" applyFont="1" applyFill="1"/>
    <xf numFmtId="166" fontId="8" fillId="0" borderId="0" xfId="1" applyNumberFormat="1" applyFont="1"/>
    <xf numFmtId="168" fontId="3" fillId="3" borderId="1" xfId="3" applyNumberFormat="1" applyFont="1" applyFill="1" applyBorder="1"/>
    <xf numFmtId="167" fontId="3" fillId="0" borderId="0" xfId="1" applyNumberFormat="1" applyFont="1"/>
    <xf numFmtId="1" fontId="3" fillId="3" borderId="0" xfId="1" applyNumberFormat="1" applyFont="1" applyFill="1"/>
    <xf numFmtId="1" fontId="7" fillId="3" borderId="0" xfId="1" applyNumberFormat="1" applyFont="1" applyFill="1"/>
    <xf numFmtId="167" fontId="9" fillId="0" borderId="0" xfId="1" applyNumberFormat="1" applyFont="1"/>
    <xf numFmtId="167" fontId="3" fillId="3" borderId="1" xfId="3" applyNumberFormat="1" applyFont="1" applyFill="1" applyBorder="1"/>
    <xf numFmtId="168" fontId="7" fillId="0" borderId="0" xfId="1" applyNumberFormat="1" applyFont="1"/>
    <xf numFmtId="0" fontId="5" fillId="0" borderId="0" xfId="0" applyFont="1"/>
    <xf numFmtId="2" fontId="0" fillId="0" borderId="0" xfId="0" applyNumberFormat="1"/>
    <xf numFmtId="0" fontId="3" fillId="6" borderId="0" xfId="1" applyFont="1" applyFill="1"/>
    <xf numFmtId="0" fontId="3" fillId="7" borderId="0" xfId="1" applyFont="1" applyFill="1"/>
    <xf numFmtId="0" fontId="11" fillId="0" borderId="0" xfId="1" applyFont="1"/>
    <xf numFmtId="165" fontId="11" fillId="0" borderId="0" xfId="1" applyNumberFormat="1" applyFont="1"/>
    <xf numFmtId="168" fontId="11" fillId="0" borderId="0" xfId="1" applyNumberFormat="1" applyFont="1"/>
    <xf numFmtId="1" fontId="11" fillId="0" borderId="0" xfId="1" applyNumberFormat="1" applyFont="1"/>
    <xf numFmtId="0" fontId="11" fillId="0" borderId="0" xfId="1" applyFont="1" applyAlignment="1">
      <alignment wrapText="1"/>
    </xf>
    <xf numFmtId="0" fontId="14" fillId="6" borderId="0" xfId="1" applyFont="1" applyFill="1"/>
    <xf numFmtId="0" fontId="15" fillId="0" borderId="0" xfId="0" applyFont="1"/>
    <xf numFmtId="0" fontId="14" fillId="0" borderId="0" xfId="1" applyFont="1"/>
    <xf numFmtId="0" fontId="16" fillId="0" borderId="0" xfId="1" applyFont="1"/>
    <xf numFmtId="0" fontId="17" fillId="6" borderId="0" xfId="1" applyFont="1" applyFill="1"/>
    <xf numFmtId="0" fontId="11" fillId="6" borderId="0" xfId="1" applyFont="1" applyFill="1"/>
    <xf numFmtId="165" fontId="11" fillId="0" borderId="0" xfId="1" applyNumberFormat="1" applyFont="1" applyAlignment="1">
      <alignment wrapText="1"/>
    </xf>
    <xf numFmtId="1" fontId="3" fillId="2" borderId="1" xfId="1" applyNumberFormat="1" applyFont="1" applyFill="1" applyBorder="1"/>
    <xf numFmtId="10" fontId="11" fillId="0" borderId="0" xfId="1" applyNumberFormat="1" applyFont="1"/>
    <xf numFmtId="168" fontId="11" fillId="0" borderId="0" xfId="1" applyNumberFormat="1" applyFont="1" applyAlignment="1">
      <alignment wrapText="1"/>
    </xf>
    <xf numFmtId="169" fontId="11" fillId="0" borderId="0" xfId="1" applyNumberFormat="1" applyFont="1"/>
    <xf numFmtId="0" fontId="11" fillId="0" borderId="0" xfId="1" applyFont="1" applyAlignment="1">
      <alignment vertical="center"/>
    </xf>
    <xf numFmtId="0" fontId="3" fillId="0" borderId="0" xfId="1" applyFont="1" applyAlignment="1">
      <alignment vertical="center"/>
    </xf>
    <xf numFmtId="0" fontId="3" fillId="4" borderId="2" xfId="1" applyFont="1" applyFill="1" applyBorder="1" applyAlignment="1">
      <alignment horizontal="center"/>
    </xf>
    <xf numFmtId="1" fontId="16" fillId="0" borderId="0" xfId="1" applyNumberFormat="1" applyFont="1"/>
    <xf numFmtId="167" fontId="3" fillId="8" borderId="1" xfId="3" applyNumberFormat="1" applyFont="1" applyFill="1" applyBorder="1"/>
    <xf numFmtId="166" fontId="3" fillId="8" borderId="1" xfId="3" applyNumberFormat="1" applyFont="1" applyFill="1" applyBorder="1"/>
    <xf numFmtId="0" fontId="3" fillId="5" borderId="0" xfId="1" applyFont="1" applyFill="1"/>
    <xf numFmtId="168" fontId="3" fillId="2" borderId="4" xfId="3" applyNumberFormat="1" applyFont="1" applyFill="1" applyBorder="1"/>
    <xf numFmtId="0" fontId="3" fillId="0" borderId="6" xfId="1" applyFont="1" applyBorder="1"/>
    <xf numFmtId="0" fontId="3" fillId="0" borderId="6" xfId="1" applyFont="1" applyBorder="1" applyAlignment="1">
      <alignment wrapText="1"/>
    </xf>
    <xf numFmtId="0" fontId="3" fillId="6" borderId="5" xfId="1" applyFont="1" applyFill="1" applyBorder="1"/>
    <xf numFmtId="0" fontId="8" fillId="0" borderId="8" xfId="1" applyFont="1" applyBorder="1"/>
    <xf numFmtId="167" fontId="3" fillId="8" borderId="7" xfId="3" applyNumberFormat="1" applyFont="1" applyFill="1" applyBorder="1"/>
    <xf numFmtId="0" fontId="8" fillId="0" borderId="6" xfId="1" applyFont="1" applyBorder="1"/>
    <xf numFmtId="0" fontId="3" fillId="0" borderId="10" xfId="1" applyFont="1" applyBorder="1"/>
    <xf numFmtId="167" fontId="3" fillId="2" borderId="2" xfId="3" applyNumberFormat="1" applyFont="1" applyFill="1" applyBorder="1"/>
    <xf numFmtId="0" fontId="3" fillId="6" borderId="6" xfId="1" applyFont="1" applyFill="1" applyBorder="1"/>
    <xf numFmtId="167" fontId="3" fillId="8" borderId="9" xfId="3" applyNumberFormat="1" applyFont="1" applyFill="1" applyBorder="1"/>
    <xf numFmtId="0" fontId="3" fillId="4" borderId="7" xfId="1" applyFont="1" applyFill="1" applyBorder="1" applyAlignment="1">
      <alignment horizontal="center"/>
    </xf>
    <xf numFmtId="1" fontId="3" fillId="8" borderId="1" xfId="1" applyNumberFormat="1" applyFont="1" applyFill="1" applyBorder="1"/>
    <xf numFmtId="1" fontId="3" fillId="8" borderId="7" xfId="1" applyNumberFormat="1" applyFont="1" applyFill="1" applyBorder="1"/>
    <xf numFmtId="9" fontId="3" fillId="3" borderId="7" xfId="1" applyNumberFormat="1" applyFont="1" applyFill="1" applyBorder="1"/>
    <xf numFmtId="0" fontId="3" fillId="0" borderId="8" xfId="1" applyFont="1" applyBorder="1"/>
    <xf numFmtId="165" fontId="3" fillId="3" borderId="7" xfId="1" applyNumberFormat="1" applyFont="1" applyFill="1" applyBorder="1"/>
    <xf numFmtId="1" fontId="3" fillId="0" borderId="6" xfId="1" applyNumberFormat="1" applyFont="1" applyBorder="1"/>
    <xf numFmtId="0" fontId="11" fillId="6" borderId="6" xfId="1" applyFont="1" applyFill="1" applyBorder="1"/>
    <xf numFmtId="0" fontId="11" fillId="0" borderId="6" xfId="1" applyFont="1" applyBorder="1"/>
    <xf numFmtId="0" fontId="11" fillId="0" borderId="6" xfId="1" applyFont="1" applyBorder="1" applyAlignment="1">
      <alignment vertical="center"/>
    </xf>
    <xf numFmtId="168" fontId="11" fillId="0" borderId="6" xfId="1" applyNumberFormat="1" applyFont="1" applyBorder="1"/>
    <xf numFmtId="1" fontId="11" fillId="0" borderId="6" xfId="1" applyNumberFormat="1" applyFont="1" applyBorder="1"/>
    <xf numFmtId="1" fontId="16" fillId="0" borderId="6" xfId="1" applyNumberFormat="1" applyFont="1" applyBorder="1"/>
    <xf numFmtId="0" fontId="11" fillId="0" borderId="12" xfId="1" applyFont="1" applyBorder="1"/>
    <xf numFmtId="0" fontId="11" fillId="0" borderId="12" xfId="1" applyFont="1" applyBorder="1" applyAlignment="1">
      <alignment wrapText="1"/>
    </xf>
    <xf numFmtId="0" fontId="11" fillId="0" borderId="5" xfId="1" applyFont="1" applyBorder="1" applyAlignment="1">
      <alignment wrapText="1"/>
    </xf>
    <xf numFmtId="0" fontId="16" fillId="0" borderId="12" xfId="1" applyFont="1" applyBorder="1" applyAlignment="1">
      <alignment wrapText="1"/>
    </xf>
    <xf numFmtId="1" fontId="3" fillId="0" borderId="0" xfId="1" applyNumberFormat="1" applyFont="1"/>
    <xf numFmtId="0" fontId="11" fillId="7" borderId="0" xfId="1" applyFont="1" applyFill="1"/>
    <xf numFmtId="165" fontId="3" fillId="0" borderId="0" xfId="1" applyNumberFormat="1" applyFont="1"/>
    <xf numFmtId="9" fontId="3" fillId="3" borderId="7" xfId="3" applyNumberFormat="1" applyFont="1" applyFill="1" applyBorder="1"/>
    <xf numFmtId="1" fontId="3" fillId="2" borderId="4" xfId="1" applyNumberFormat="1" applyFont="1" applyFill="1" applyBorder="1"/>
    <xf numFmtId="168" fontId="3" fillId="3" borderId="4" xfId="1" applyNumberFormat="1" applyFont="1" applyFill="1" applyBorder="1"/>
    <xf numFmtId="1" fontId="11" fillId="0" borderId="0" xfId="1" applyNumberFormat="1" applyFont="1" applyAlignment="1">
      <alignment horizontal="right"/>
    </xf>
    <xf numFmtId="0" fontId="3" fillId="4" borderId="13" xfId="1" applyFont="1" applyFill="1" applyBorder="1"/>
    <xf numFmtId="0" fontId="3" fillId="0" borderId="14" xfId="1" applyFont="1" applyBorder="1"/>
    <xf numFmtId="168" fontId="3" fillId="3" borderId="7" xfId="3" applyNumberFormat="1" applyFont="1" applyFill="1" applyBorder="1"/>
    <xf numFmtId="0" fontId="3" fillId="0" borderId="15" xfId="1" applyFont="1" applyBorder="1" applyAlignment="1">
      <alignment wrapText="1"/>
    </xf>
    <xf numFmtId="168" fontId="3" fillId="3" borderId="13" xfId="3" applyNumberFormat="1" applyFont="1" applyFill="1" applyBorder="1"/>
    <xf numFmtId="0" fontId="3" fillId="9" borderId="0" xfId="1" applyFont="1" applyFill="1"/>
    <xf numFmtId="165" fontId="8" fillId="0" borderId="0" xfId="1" applyNumberFormat="1" applyFont="1"/>
    <xf numFmtId="1" fontId="7" fillId="0" borderId="6" xfId="1" applyNumberFormat="1" applyFont="1" applyBorder="1"/>
    <xf numFmtId="0" fontId="3" fillId="10" borderId="0" xfId="1" applyFont="1" applyFill="1"/>
    <xf numFmtId="168" fontId="3" fillId="2" borderId="1" xfId="3" applyNumberFormat="1" applyFont="1" applyFill="1" applyBorder="1"/>
    <xf numFmtId="0" fontId="3" fillId="11" borderId="0" xfId="1" applyFont="1" applyFill="1"/>
    <xf numFmtId="165" fontId="7" fillId="10" borderId="0" xfId="1" applyNumberFormat="1" applyFont="1" applyFill="1"/>
    <xf numFmtId="168" fontId="7" fillId="10" borderId="0" xfId="1" applyNumberFormat="1" applyFont="1" applyFill="1"/>
    <xf numFmtId="168" fontId="9" fillId="10" borderId="0" xfId="1" applyNumberFormat="1" applyFont="1" applyFill="1"/>
    <xf numFmtId="167" fontId="3" fillId="0" borderId="0" xfId="3" applyNumberFormat="1" applyFont="1"/>
    <xf numFmtId="166" fontId="2" fillId="0" borderId="0" xfId="3" applyNumberFormat="1" applyFont="1"/>
    <xf numFmtId="0" fontId="3" fillId="12" borderId="0" xfId="1" applyFont="1" applyFill="1"/>
    <xf numFmtId="0" fontId="10" fillId="13" borderId="0" xfId="1" applyFont="1" applyFill="1"/>
    <xf numFmtId="0" fontId="3" fillId="13" borderId="0" xfId="1" applyFont="1" applyFill="1"/>
    <xf numFmtId="0" fontId="17" fillId="14" borderId="0" xfId="1" applyFont="1" applyFill="1"/>
    <xf numFmtId="9" fontId="3" fillId="3" borderId="0" xfId="4" applyFont="1" applyFill="1"/>
    <xf numFmtId="0" fontId="18" fillId="7" borderId="0" xfId="1" applyFont="1" applyFill="1"/>
    <xf numFmtId="0" fontId="2" fillId="7" borderId="0" xfId="1" applyFill="1"/>
    <xf numFmtId="0" fontId="19" fillId="14" borderId="0" xfId="1" applyFont="1" applyFill="1"/>
    <xf numFmtId="0" fontId="20" fillId="14" borderId="0" xfId="1" applyFont="1" applyFill="1" applyAlignment="1">
      <alignment vertical="center"/>
    </xf>
    <xf numFmtId="0" fontId="18" fillId="14" borderId="0" xfId="1" applyFont="1" applyFill="1"/>
    <xf numFmtId="0" fontId="11" fillId="7" borderId="0" xfId="1" applyFont="1" applyFill="1" applyAlignment="1">
      <alignment wrapText="1"/>
    </xf>
    <xf numFmtId="0" fontId="3" fillId="7" borderId="0" xfId="1" applyFont="1" applyFill="1" applyAlignment="1">
      <alignment vertical="center"/>
    </xf>
    <xf numFmtId="0" fontId="21" fillId="14" borderId="0" xfId="1" applyFont="1" applyFill="1"/>
    <xf numFmtId="0" fontId="12" fillId="15" borderId="0" xfId="1" applyFont="1" applyFill="1" applyAlignment="1">
      <alignment horizontal="center" vertical="center" wrapText="1"/>
    </xf>
    <xf numFmtId="0" fontId="11" fillId="7" borderId="0" xfId="1" applyFont="1" applyFill="1" applyAlignment="1">
      <alignment vertical="top" wrapText="1"/>
    </xf>
    <xf numFmtId="0" fontId="11" fillId="7" borderId="0" xfId="1" applyFont="1" applyFill="1" applyAlignment="1">
      <alignment vertical="top"/>
    </xf>
    <xf numFmtId="0" fontId="28" fillId="0" borderId="0" xfId="1" applyFont="1" applyAlignment="1">
      <alignment horizontal="center" vertical="center" wrapText="1"/>
    </xf>
    <xf numFmtId="0" fontId="29" fillId="0" borderId="0" xfId="1" applyFont="1" applyAlignment="1">
      <alignment horizontal="center" vertical="center" wrapText="1"/>
    </xf>
    <xf numFmtId="0" fontId="30" fillId="7" borderId="0" xfId="1" applyFont="1" applyFill="1" applyAlignment="1">
      <alignment horizontal="right"/>
    </xf>
    <xf numFmtId="0" fontId="31" fillId="0" borderId="0" xfId="1" applyFont="1" applyAlignment="1">
      <alignment horizontal="center" wrapText="1"/>
    </xf>
    <xf numFmtId="0" fontId="30" fillId="0" borderId="0" xfId="1" applyFont="1" applyAlignment="1">
      <alignment horizontal="center" wrapText="1"/>
    </xf>
    <xf numFmtId="0" fontId="32" fillId="0" borderId="0" xfId="1" applyFont="1"/>
    <xf numFmtId="1" fontId="33" fillId="0" borderId="0" xfId="1" applyNumberFormat="1" applyFont="1"/>
    <xf numFmtId="0" fontId="11" fillId="14" borderId="0" xfId="1" applyFont="1" applyFill="1"/>
    <xf numFmtId="0" fontId="32" fillId="7" borderId="0" xfId="1" applyFont="1" applyFill="1"/>
    <xf numFmtId="0" fontId="35" fillId="0" borderId="0" xfId="1" applyFont="1" applyAlignment="1">
      <alignment horizontal="center"/>
    </xf>
    <xf numFmtId="0" fontId="32" fillId="7" borderId="16" xfId="1" applyFont="1" applyFill="1" applyBorder="1"/>
    <xf numFmtId="1" fontId="36" fillId="0" borderId="0" xfId="1" applyNumberFormat="1" applyFont="1" applyAlignment="1">
      <alignment horizontal="center"/>
    </xf>
    <xf numFmtId="1" fontId="35" fillId="0" borderId="0" xfId="1" applyNumberFormat="1" applyFont="1" applyAlignment="1">
      <alignment horizontal="center"/>
    </xf>
    <xf numFmtId="1" fontId="37" fillId="14" borderId="0" xfId="1" applyNumberFormat="1" applyFont="1" applyFill="1" applyAlignment="1">
      <alignment horizontal="center"/>
    </xf>
    <xf numFmtId="0" fontId="37" fillId="14" borderId="0" xfId="1" applyFont="1" applyFill="1" applyAlignment="1">
      <alignment horizontal="center"/>
    </xf>
    <xf numFmtId="1" fontId="38" fillId="14" borderId="0" xfId="1" applyNumberFormat="1" applyFont="1" applyFill="1" applyAlignment="1">
      <alignment horizontal="center"/>
    </xf>
    <xf numFmtId="0" fontId="39" fillId="18" borderId="0" xfId="1" applyFont="1" applyFill="1"/>
    <xf numFmtId="1" fontId="40" fillId="18" borderId="0" xfId="1" applyNumberFormat="1" applyFont="1" applyFill="1" applyAlignment="1">
      <alignment horizontal="center"/>
    </xf>
    <xf numFmtId="0" fontId="11" fillId="18" borderId="0" xfId="1" applyFont="1" applyFill="1"/>
    <xf numFmtId="0" fontId="30" fillId="7" borderId="0" xfId="1" applyFont="1" applyFill="1" applyAlignment="1">
      <alignment horizontal="center" wrapText="1"/>
    </xf>
    <xf numFmtId="0" fontId="42" fillId="7" borderId="0" xfId="1" applyFont="1" applyFill="1"/>
    <xf numFmtId="0" fontId="39" fillId="18" borderId="47" xfId="1" applyFont="1" applyFill="1" applyBorder="1"/>
    <xf numFmtId="1" fontId="40" fillId="18" borderId="52" xfId="1" applyNumberFormat="1" applyFont="1" applyFill="1" applyBorder="1" applyAlignment="1">
      <alignment horizontal="center"/>
    </xf>
    <xf numFmtId="0" fontId="43" fillId="7" borderId="0" xfId="1" applyFont="1" applyFill="1" applyAlignment="1">
      <alignment horizontal="center" vertical="center"/>
    </xf>
    <xf numFmtId="1" fontId="40" fillId="18" borderId="49" xfId="1" applyNumberFormat="1" applyFont="1" applyFill="1" applyBorder="1" applyAlignment="1">
      <alignment horizontal="center"/>
    </xf>
    <xf numFmtId="0" fontId="40" fillId="18" borderId="48" xfId="1" applyFont="1" applyFill="1" applyBorder="1" applyAlignment="1">
      <alignment horizontal="center"/>
    </xf>
    <xf numFmtId="1" fontId="33" fillId="7" borderId="0" xfId="1" applyNumberFormat="1" applyFont="1" applyFill="1"/>
    <xf numFmtId="0" fontId="41" fillId="18" borderId="0" xfId="1" applyFont="1" applyFill="1"/>
    <xf numFmtId="0" fontId="39" fillId="18" borderId="51" xfId="1" applyFont="1" applyFill="1" applyBorder="1"/>
    <xf numFmtId="1" fontId="38" fillId="18" borderId="52" xfId="1" applyNumberFormat="1" applyFont="1" applyFill="1" applyBorder="1" applyAlignment="1">
      <alignment horizontal="center"/>
    </xf>
    <xf numFmtId="0" fontId="42" fillId="0" borderId="0" xfId="1" applyFont="1"/>
    <xf numFmtId="0" fontId="11" fillId="16" borderId="0" xfId="1" applyFont="1" applyFill="1"/>
    <xf numFmtId="0" fontId="32" fillId="16" borderId="0" xfId="1" applyFont="1" applyFill="1"/>
    <xf numFmtId="0" fontId="11" fillId="0" borderId="0" xfId="1" applyFont="1" applyAlignment="1">
      <alignment horizontal="right"/>
    </xf>
    <xf numFmtId="0" fontId="32" fillId="0" borderId="65" xfId="1" applyFont="1" applyBorder="1"/>
    <xf numFmtId="0" fontId="32" fillId="0" borderId="65" xfId="1" applyFont="1" applyBorder="1" applyAlignment="1">
      <alignment wrapText="1"/>
    </xf>
    <xf numFmtId="0" fontId="32" fillId="0" borderId="66" xfId="1" applyFont="1" applyBorder="1"/>
    <xf numFmtId="0" fontId="32" fillId="0" borderId="67" xfId="1" applyFont="1" applyBorder="1"/>
    <xf numFmtId="0" fontId="32" fillId="0" borderId="68" xfId="1" applyFont="1" applyBorder="1" applyAlignment="1">
      <alignment horizontal="center"/>
    </xf>
    <xf numFmtId="169" fontId="32" fillId="0" borderId="68" xfId="1" applyNumberFormat="1" applyFont="1" applyBorder="1" applyAlignment="1">
      <alignment horizontal="center"/>
    </xf>
    <xf numFmtId="168" fontId="32" fillId="0" borderId="68" xfId="5" applyNumberFormat="1" applyFont="1" applyFill="1" applyBorder="1" applyAlignment="1">
      <alignment horizontal="center"/>
    </xf>
    <xf numFmtId="165" fontId="32" fillId="0" borderId="69" xfId="1" applyNumberFormat="1" applyFont="1" applyBorder="1" applyAlignment="1">
      <alignment horizontal="center"/>
    </xf>
    <xf numFmtId="165" fontId="32" fillId="0" borderId="70" xfId="1" applyNumberFormat="1" applyFont="1" applyBorder="1" applyAlignment="1">
      <alignment horizontal="center"/>
    </xf>
    <xf numFmtId="0" fontId="11" fillId="16" borderId="71" xfId="1" applyFont="1" applyFill="1" applyBorder="1"/>
    <xf numFmtId="0" fontId="32" fillId="0" borderId="72" xfId="1" applyFont="1" applyBorder="1"/>
    <xf numFmtId="0" fontId="19" fillId="18" borderId="19" xfId="1" applyFont="1" applyFill="1" applyBorder="1"/>
    <xf numFmtId="170" fontId="53" fillId="18" borderId="21" xfId="1" applyNumberFormat="1" applyFont="1" applyFill="1" applyBorder="1"/>
    <xf numFmtId="0" fontId="11" fillId="16" borderId="73" xfId="1" applyFont="1" applyFill="1" applyBorder="1"/>
    <xf numFmtId="2" fontId="32" fillId="0" borderId="74" xfId="1" applyNumberFormat="1" applyFont="1" applyBorder="1" applyAlignment="1">
      <alignment horizontal="center"/>
    </xf>
    <xf numFmtId="0" fontId="11" fillId="16" borderId="75" xfId="1" applyFont="1" applyFill="1" applyBorder="1"/>
    <xf numFmtId="0" fontId="11" fillId="0" borderId="75" xfId="1" applyFont="1" applyBorder="1"/>
    <xf numFmtId="0" fontId="11" fillId="16" borderId="67" xfId="1" applyFont="1" applyFill="1" applyBorder="1"/>
    <xf numFmtId="0" fontId="56" fillId="16" borderId="75" xfId="1" applyFont="1" applyFill="1" applyBorder="1" applyAlignment="1">
      <alignment horizontal="center"/>
    </xf>
    <xf numFmtId="169" fontId="32" fillId="0" borderId="77" xfId="1" applyNumberFormat="1" applyFont="1" applyBorder="1" applyAlignment="1">
      <alignment horizontal="center"/>
    </xf>
    <xf numFmtId="165" fontId="32" fillId="0" borderId="77" xfId="1" applyNumberFormat="1" applyFont="1" applyBorder="1" applyAlignment="1">
      <alignment horizontal="center"/>
    </xf>
    <xf numFmtId="0" fontId="11" fillId="16" borderId="76" xfId="1" applyFont="1" applyFill="1" applyBorder="1"/>
    <xf numFmtId="0" fontId="33" fillId="18" borderId="72" xfId="1" applyFont="1" applyFill="1" applyBorder="1"/>
    <xf numFmtId="0" fontId="19" fillId="18" borderId="71" xfId="1" applyFont="1" applyFill="1" applyBorder="1"/>
    <xf numFmtId="0" fontId="33" fillId="18" borderId="71" xfId="1" applyFont="1" applyFill="1" applyBorder="1"/>
    <xf numFmtId="0" fontId="33" fillId="18" borderId="78" xfId="1" applyFont="1" applyFill="1" applyBorder="1"/>
    <xf numFmtId="0" fontId="11" fillId="16" borderId="79" xfId="1" applyFont="1" applyFill="1" applyBorder="1"/>
    <xf numFmtId="0" fontId="22" fillId="16" borderId="0" xfId="1" applyFont="1" applyFill="1"/>
    <xf numFmtId="0" fontId="11" fillId="16" borderId="90" xfId="1" applyFont="1" applyFill="1" applyBorder="1"/>
    <xf numFmtId="0" fontId="11" fillId="16" borderId="91" xfId="1" applyFont="1" applyFill="1" applyBorder="1"/>
    <xf numFmtId="0" fontId="11" fillId="16" borderId="92" xfId="1" applyFont="1" applyFill="1" applyBorder="1"/>
    <xf numFmtId="0" fontId="12" fillId="16" borderId="0" xfId="1" applyFont="1" applyFill="1"/>
    <xf numFmtId="0" fontId="12" fillId="16" borderId="92" xfId="1" applyFont="1" applyFill="1" applyBorder="1"/>
    <xf numFmtId="0" fontId="12" fillId="16" borderId="75" xfId="1" applyFont="1" applyFill="1" applyBorder="1"/>
    <xf numFmtId="0" fontId="32" fillId="16" borderId="75" xfId="1" applyFont="1" applyFill="1" applyBorder="1"/>
    <xf numFmtId="0" fontId="53" fillId="18" borderId="72" xfId="1" applyFont="1" applyFill="1" applyBorder="1" applyAlignment="1">
      <alignment horizontal="center"/>
    </xf>
    <xf numFmtId="0" fontId="53" fillId="18" borderId="92" xfId="1" applyFont="1" applyFill="1" applyBorder="1" applyAlignment="1">
      <alignment horizontal="center"/>
    </xf>
    <xf numFmtId="0" fontId="57" fillId="16" borderId="0" xfId="1" applyFont="1" applyFill="1"/>
    <xf numFmtId="0" fontId="53" fillId="18" borderId="96" xfId="1" applyFont="1" applyFill="1" applyBorder="1" applyAlignment="1">
      <alignment horizontal="right"/>
    </xf>
    <xf numFmtId="0" fontId="53" fillId="18" borderId="99" xfId="1" applyFont="1" applyFill="1" applyBorder="1" applyAlignment="1">
      <alignment horizontal="right"/>
    </xf>
    <xf numFmtId="0" fontId="19" fillId="18" borderId="78" xfId="1" applyFont="1" applyFill="1" applyBorder="1"/>
    <xf numFmtId="0" fontId="53" fillId="18" borderId="97" xfId="1" applyFont="1" applyFill="1" applyBorder="1" applyAlignment="1">
      <alignment horizontal="right"/>
    </xf>
    <xf numFmtId="0" fontId="58" fillId="0" borderId="0" xfId="1" applyFont="1"/>
    <xf numFmtId="0" fontId="34" fillId="14" borderId="0" xfId="1" applyFont="1" applyFill="1" applyAlignment="1">
      <alignment horizontal="center" vertical="center"/>
    </xf>
    <xf numFmtId="0" fontId="54" fillId="7" borderId="0" xfId="0" applyFont="1" applyFill="1"/>
    <xf numFmtId="0" fontId="63" fillId="7" borderId="0" xfId="1" applyFont="1" applyFill="1"/>
    <xf numFmtId="0" fontId="63" fillId="0" borderId="0" xfId="1" applyFont="1"/>
    <xf numFmtId="0" fontId="64" fillId="14" borderId="0" xfId="1" applyFont="1" applyFill="1"/>
    <xf numFmtId="0" fontId="65" fillId="14" borderId="0" xfId="1" applyFont="1" applyFill="1"/>
    <xf numFmtId="0" fontId="63" fillId="14" borderId="0" xfId="1" applyFont="1" applyFill="1"/>
    <xf numFmtId="0" fontId="66" fillId="13" borderId="0" xfId="1" applyFont="1" applyFill="1"/>
    <xf numFmtId="0" fontId="63" fillId="13" borderId="0" xfId="1" applyFont="1" applyFill="1"/>
    <xf numFmtId="0" fontId="67" fillId="7" borderId="0" xfId="1" applyFont="1" applyFill="1"/>
    <xf numFmtId="0" fontId="64" fillId="7" borderId="0" xfId="1" applyFont="1" applyFill="1"/>
    <xf numFmtId="0" fontId="64" fillId="0" borderId="0" xfId="1" applyFont="1"/>
    <xf numFmtId="0" fontId="58" fillId="7" borderId="0" xfId="1" applyFont="1" applyFill="1"/>
    <xf numFmtId="0" fontId="58" fillId="13" borderId="12" xfId="1" applyFont="1" applyFill="1" applyBorder="1" applyAlignment="1">
      <alignment vertical="center" wrapText="1"/>
    </xf>
    <xf numFmtId="0" fontId="58" fillId="13" borderId="3" xfId="1" applyFont="1" applyFill="1" applyBorder="1" applyAlignment="1">
      <alignment wrapText="1"/>
    </xf>
    <xf numFmtId="0" fontId="58" fillId="13" borderId="12" xfId="1" applyFont="1" applyFill="1" applyBorder="1" applyAlignment="1">
      <alignment wrapText="1"/>
    </xf>
    <xf numFmtId="0" fontId="63" fillId="7" borderId="10" xfId="1" applyFont="1" applyFill="1" applyBorder="1"/>
    <xf numFmtId="0" fontId="58" fillId="15" borderId="0" xfId="1" applyFont="1" applyFill="1"/>
    <xf numFmtId="0" fontId="58" fillId="13" borderId="0" xfId="1" applyFont="1" applyFill="1"/>
    <xf numFmtId="0" fontId="58" fillId="13" borderId="12" xfId="1" applyFont="1" applyFill="1" applyBorder="1"/>
    <xf numFmtId="0" fontId="58" fillId="0" borderId="10" xfId="1" applyFont="1" applyBorder="1"/>
    <xf numFmtId="0" fontId="58" fillId="7" borderId="10" xfId="1" applyFont="1" applyFill="1" applyBorder="1"/>
    <xf numFmtId="0" fontId="69" fillId="19" borderId="101" xfId="6" applyFont="1" applyFill="1" applyBorder="1" applyAlignment="1">
      <alignment vertical="top"/>
    </xf>
    <xf numFmtId="0" fontId="70" fillId="19" borderId="101" xfId="0" applyFont="1" applyFill="1" applyBorder="1"/>
    <xf numFmtId="0" fontId="70" fillId="19" borderId="102" xfId="0" applyFont="1" applyFill="1" applyBorder="1"/>
    <xf numFmtId="0" fontId="69" fillId="20" borderId="101" xfId="6" applyFont="1" applyFill="1" applyBorder="1" applyAlignment="1">
      <alignment vertical="top"/>
    </xf>
    <xf numFmtId="0" fontId="70" fillId="20" borderId="101" xfId="0" applyFont="1" applyFill="1" applyBorder="1"/>
    <xf numFmtId="0" fontId="70" fillId="20" borderId="102" xfId="0" applyFont="1" applyFill="1" applyBorder="1"/>
    <xf numFmtId="0" fontId="54" fillId="21" borderId="101" xfId="0" applyFont="1" applyFill="1" applyBorder="1"/>
    <xf numFmtId="0" fontId="54" fillId="21" borderId="102" xfId="0" applyFont="1" applyFill="1" applyBorder="1"/>
    <xf numFmtId="0" fontId="62" fillId="22" borderId="101" xfId="6" applyFont="1" applyFill="1" applyBorder="1" applyAlignment="1">
      <alignment vertical="top"/>
    </xf>
    <xf numFmtId="0" fontId="54" fillId="22" borderId="101" xfId="0" applyFont="1" applyFill="1" applyBorder="1"/>
    <xf numFmtId="0" fontId="54" fillId="22" borderId="102" xfId="0" applyFont="1" applyFill="1" applyBorder="1"/>
    <xf numFmtId="0" fontId="61" fillId="23" borderId="0" xfId="0" applyFont="1" applyFill="1"/>
    <xf numFmtId="0" fontId="54" fillId="23" borderId="0" xfId="0" applyFont="1" applyFill="1"/>
    <xf numFmtId="0" fontId="54" fillId="23" borderId="0" xfId="0" applyFont="1" applyFill="1" applyAlignment="1">
      <alignment horizontal="left" vertical="top" wrapText="1"/>
    </xf>
    <xf numFmtId="0" fontId="59" fillId="23" borderId="0" xfId="0" applyFont="1" applyFill="1"/>
    <xf numFmtId="0" fontId="54" fillId="23" borderId="101" xfId="0" applyFont="1" applyFill="1" applyBorder="1"/>
    <xf numFmtId="0" fontId="73" fillId="21" borderId="101" xfId="6" applyFont="1" applyFill="1" applyBorder="1" applyAlignment="1">
      <alignment vertical="top"/>
    </xf>
    <xf numFmtId="168" fontId="11" fillId="7" borderId="0" xfId="4" applyNumberFormat="1" applyFont="1" applyFill="1" applyProtection="1">
      <protection hidden="1"/>
    </xf>
    <xf numFmtId="0" fontId="11" fillId="7" borderId="0" xfId="1" applyFont="1" applyFill="1" applyProtection="1">
      <protection hidden="1"/>
    </xf>
    <xf numFmtId="168" fontId="11" fillId="7" borderId="0" xfId="1" applyNumberFormat="1" applyFont="1" applyFill="1" applyProtection="1">
      <protection hidden="1"/>
    </xf>
    <xf numFmtId="167" fontId="11" fillId="7" borderId="0" xfId="3" applyNumberFormat="1" applyFont="1" applyFill="1" applyProtection="1">
      <protection hidden="1"/>
    </xf>
    <xf numFmtId="167" fontId="11" fillId="7" borderId="0" xfId="1" applyNumberFormat="1" applyFont="1" applyFill="1" applyProtection="1">
      <protection hidden="1"/>
    </xf>
    <xf numFmtId="0" fontId="18" fillId="7" borderId="0" xfId="1" applyFont="1" applyFill="1" applyProtection="1">
      <protection hidden="1"/>
    </xf>
    <xf numFmtId="1" fontId="18" fillId="7" borderId="0" xfId="1" applyNumberFormat="1" applyFont="1" applyFill="1" applyProtection="1">
      <protection hidden="1"/>
    </xf>
    <xf numFmtId="167" fontId="18" fillId="7" borderId="0" xfId="3" applyNumberFormat="1" applyFont="1" applyFill="1" applyProtection="1">
      <protection hidden="1"/>
    </xf>
    <xf numFmtId="1" fontId="11" fillId="7" borderId="0" xfId="1" applyNumberFormat="1" applyFont="1" applyFill="1" applyProtection="1">
      <protection hidden="1"/>
    </xf>
    <xf numFmtId="2" fontId="11" fillId="7" borderId="0" xfId="1" applyNumberFormat="1" applyFont="1" applyFill="1" applyProtection="1">
      <protection hidden="1"/>
    </xf>
    <xf numFmtId="1" fontId="32" fillId="7" borderId="82" xfId="1" applyNumberFormat="1" applyFont="1" applyFill="1" applyBorder="1" applyAlignment="1" applyProtection="1">
      <alignment horizontal="center"/>
      <protection hidden="1"/>
    </xf>
    <xf numFmtId="1" fontId="32" fillId="7" borderId="84" xfId="1" applyNumberFormat="1" applyFont="1" applyFill="1" applyBorder="1" applyAlignment="1" applyProtection="1">
      <alignment horizontal="center"/>
      <protection hidden="1"/>
    </xf>
    <xf numFmtId="10" fontId="32" fillId="7" borderId="84" xfId="1" applyNumberFormat="1" applyFont="1" applyFill="1" applyBorder="1" applyAlignment="1" applyProtection="1">
      <alignment horizontal="center"/>
      <protection hidden="1"/>
    </xf>
    <xf numFmtId="1" fontId="32" fillId="7" borderId="89" xfId="1" applyNumberFormat="1" applyFont="1" applyFill="1" applyBorder="1" applyAlignment="1" applyProtection="1">
      <alignment horizontal="center"/>
      <protection hidden="1"/>
    </xf>
    <xf numFmtId="168" fontId="32" fillId="7" borderId="84" xfId="1" applyNumberFormat="1" applyFont="1" applyFill="1" applyBorder="1" applyAlignment="1" applyProtection="1">
      <alignment horizontal="center"/>
      <protection hidden="1"/>
    </xf>
    <xf numFmtId="1" fontId="32" fillId="7" borderId="86" xfId="1" applyNumberFormat="1" applyFont="1" applyFill="1" applyBorder="1" applyAlignment="1" applyProtection="1">
      <alignment horizontal="center"/>
      <protection hidden="1"/>
    </xf>
    <xf numFmtId="1" fontId="32" fillId="7" borderId="78" xfId="1" applyNumberFormat="1" applyFont="1" applyFill="1" applyBorder="1" applyAlignment="1" applyProtection="1">
      <alignment horizontal="center"/>
      <protection hidden="1"/>
    </xf>
    <xf numFmtId="2" fontId="32" fillId="7" borderId="95" xfId="1" applyNumberFormat="1" applyFont="1" applyFill="1" applyBorder="1" applyAlignment="1" applyProtection="1">
      <alignment horizontal="center"/>
      <protection hidden="1"/>
    </xf>
    <xf numFmtId="1" fontId="32" fillId="7" borderId="93" xfId="1" applyNumberFormat="1" applyFont="1" applyFill="1" applyBorder="1" applyAlignment="1" applyProtection="1">
      <alignment horizontal="center"/>
      <protection hidden="1"/>
    </xf>
    <xf numFmtId="2" fontId="32" fillId="7" borderId="93" xfId="1" applyNumberFormat="1" applyFont="1" applyFill="1" applyBorder="1" applyAlignment="1" applyProtection="1">
      <alignment horizontal="center"/>
      <protection hidden="1"/>
    </xf>
    <xf numFmtId="2" fontId="32" fillId="7" borderId="94" xfId="1" applyNumberFormat="1" applyFont="1" applyFill="1" applyBorder="1" applyAlignment="1" applyProtection="1">
      <alignment horizontal="center"/>
      <protection hidden="1"/>
    </xf>
    <xf numFmtId="1" fontId="32" fillId="7" borderId="94" xfId="1" applyNumberFormat="1" applyFont="1" applyFill="1" applyBorder="1" applyAlignment="1" applyProtection="1">
      <alignment horizontal="center"/>
      <protection hidden="1"/>
    </xf>
    <xf numFmtId="1" fontId="32" fillId="7" borderId="79" xfId="1" applyNumberFormat="1" applyFont="1" applyFill="1" applyBorder="1" applyAlignment="1" applyProtection="1">
      <alignment horizontal="center"/>
      <protection hidden="1"/>
    </xf>
    <xf numFmtId="2" fontId="32" fillId="7" borderId="74" xfId="1" applyNumberFormat="1" applyFont="1" applyFill="1" applyBorder="1" applyAlignment="1" applyProtection="1">
      <alignment horizontal="center"/>
      <protection hidden="1"/>
    </xf>
    <xf numFmtId="2" fontId="32" fillId="7" borderId="75" xfId="1" applyNumberFormat="1" applyFont="1" applyFill="1" applyBorder="1" applyAlignment="1" applyProtection="1">
      <alignment horizontal="center"/>
      <protection hidden="1"/>
    </xf>
    <xf numFmtId="1" fontId="32" fillId="7" borderId="74" xfId="1" applyNumberFormat="1" applyFont="1" applyFill="1" applyBorder="1" applyAlignment="1" applyProtection="1">
      <alignment horizontal="center"/>
      <protection hidden="1"/>
    </xf>
    <xf numFmtId="2" fontId="32" fillId="7" borderId="100" xfId="1" applyNumberFormat="1" applyFont="1" applyFill="1" applyBorder="1" applyAlignment="1" applyProtection="1">
      <alignment horizontal="center"/>
      <protection hidden="1"/>
    </xf>
    <xf numFmtId="2" fontId="32" fillId="7" borderId="76" xfId="1" applyNumberFormat="1" applyFont="1" applyFill="1" applyBorder="1" applyAlignment="1" applyProtection="1">
      <alignment horizontal="center"/>
      <protection hidden="1"/>
    </xf>
    <xf numFmtId="1" fontId="32" fillId="7" borderId="75" xfId="1" applyNumberFormat="1" applyFont="1" applyFill="1" applyBorder="1" applyAlignment="1" applyProtection="1">
      <alignment horizontal="center"/>
      <protection hidden="1"/>
    </xf>
    <xf numFmtId="2" fontId="32" fillId="17" borderId="74" xfId="1" applyNumberFormat="1" applyFont="1" applyFill="1" applyBorder="1" applyAlignment="1" applyProtection="1">
      <alignment horizontal="center"/>
      <protection hidden="1"/>
    </xf>
    <xf numFmtId="165" fontId="58" fillId="13" borderId="12" xfId="1" applyNumberFormat="1" applyFont="1" applyFill="1" applyBorder="1" applyProtection="1">
      <protection hidden="1"/>
    </xf>
    <xf numFmtId="165" fontId="58" fillId="13" borderId="3" xfId="1" applyNumberFormat="1" applyFont="1" applyFill="1" applyBorder="1" applyProtection="1">
      <protection hidden="1"/>
    </xf>
    <xf numFmtId="9" fontId="58" fillId="13" borderId="3" xfId="1" applyNumberFormat="1" applyFont="1" applyFill="1" applyBorder="1" applyProtection="1">
      <protection hidden="1"/>
    </xf>
    <xf numFmtId="168" fontId="58" fillId="13" borderId="3" xfId="1" applyNumberFormat="1" applyFont="1" applyFill="1" applyBorder="1" applyProtection="1">
      <protection hidden="1"/>
    </xf>
    <xf numFmtId="0" fontId="58" fillId="0" borderId="12" xfId="1" applyFont="1" applyBorder="1" applyProtection="1">
      <protection hidden="1"/>
    </xf>
    <xf numFmtId="168" fontId="58" fillId="13" borderId="12" xfId="1" applyNumberFormat="1" applyFont="1" applyFill="1" applyBorder="1" applyProtection="1">
      <protection hidden="1"/>
    </xf>
    <xf numFmtId="1" fontId="58" fillId="13" borderId="3" xfId="1" applyNumberFormat="1" applyFont="1" applyFill="1" applyBorder="1" applyProtection="1">
      <protection hidden="1"/>
    </xf>
    <xf numFmtId="9" fontId="58" fillId="13" borderId="0" xfId="1" applyNumberFormat="1" applyFont="1" applyFill="1" applyProtection="1">
      <protection hidden="1"/>
    </xf>
    <xf numFmtId="168" fontId="58" fillId="13" borderId="0" xfId="1" applyNumberFormat="1" applyFont="1" applyFill="1" applyProtection="1">
      <protection hidden="1"/>
    </xf>
    <xf numFmtId="9" fontId="58" fillId="13" borderId="3" xfId="4" applyFont="1" applyFill="1" applyBorder="1" applyProtection="1">
      <protection hidden="1"/>
    </xf>
    <xf numFmtId="0" fontId="58" fillId="0" borderId="3" xfId="1" applyFont="1" applyBorder="1" applyProtection="1">
      <protection hidden="1"/>
    </xf>
    <xf numFmtId="0" fontId="58" fillId="0" borderId="0" xfId="1" applyFont="1" applyProtection="1">
      <protection hidden="1"/>
    </xf>
    <xf numFmtId="0" fontId="11" fillId="0" borderId="23" xfId="1" applyFont="1" applyBorder="1"/>
    <xf numFmtId="0" fontId="11" fillId="0" borderId="22" xfId="1" applyFont="1" applyBorder="1"/>
    <xf numFmtId="0" fontId="46" fillId="0" borderId="0" xfId="1" applyFont="1" applyAlignment="1">
      <alignment horizontal="center"/>
    </xf>
    <xf numFmtId="0" fontId="11" fillId="0" borderId="28" xfId="1" applyFont="1" applyBorder="1"/>
    <xf numFmtId="0" fontId="11" fillId="0" borderId="29" xfId="1" applyFont="1" applyBorder="1"/>
    <xf numFmtId="0" fontId="11" fillId="0" borderId="30" xfId="1" applyFont="1" applyBorder="1"/>
    <xf numFmtId="0" fontId="46" fillId="0" borderId="0" xfId="1" applyFont="1"/>
    <xf numFmtId="0" fontId="11" fillId="0" borderId="53" xfId="1" applyFont="1" applyBorder="1"/>
    <xf numFmtId="0" fontId="51" fillId="0" borderId="0" xfId="1" applyFont="1" applyAlignment="1">
      <alignment horizontal="center"/>
    </xf>
    <xf numFmtId="0" fontId="45" fillId="0" borderId="0" xfId="1" applyFont="1"/>
    <xf numFmtId="165" fontId="47" fillId="0" borderId="27" xfId="1" applyNumberFormat="1" applyFont="1" applyBorder="1" applyAlignment="1" applyProtection="1">
      <alignment horizontal="center"/>
      <protection locked="0"/>
    </xf>
    <xf numFmtId="165" fontId="48" fillId="0" borderId="58" xfId="1" applyNumberFormat="1" applyFont="1" applyBorder="1" applyAlignment="1">
      <alignment horizontal="center"/>
    </xf>
    <xf numFmtId="0" fontId="52" fillId="0" borderId="0" xfId="1" applyFont="1"/>
    <xf numFmtId="0" fontId="45" fillId="0" borderId="59" xfId="1" applyFont="1" applyBorder="1" applyAlignment="1">
      <alignment horizontal="left" wrapText="1"/>
    </xf>
    <xf numFmtId="165" fontId="47" fillId="0" borderId="33" xfId="1" applyNumberFormat="1" applyFont="1" applyBorder="1" applyAlignment="1" applyProtection="1">
      <alignment horizontal="center"/>
      <protection locked="0"/>
    </xf>
    <xf numFmtId="0" fontId="11" fillId="0" borderId="38" xfId="1" applyFont="1" applyBorder="1"/>
    <xf numFmtId="0" fontId="11" fillId="0" borderId="39" xfId="1" applyFont="1" applyBorder="1"/>
    <xf numFmtId="0" fontId="11" fillId="0" borderId="41" xfId="1" applyFont="1" applyBorder="1"/>
    <xf numFmtId="0" fontId="11" fillId="0" borderId="42" xfId="1" applyFont="1" applyBorder="1"/>
    <xf numFmtId="0" fontId="16" fillId="0" borderId="42" xfId="1" applyFont="1" applyBorder="1"/>
    <xf numFmtId="0" fontId="16" fillId="0" borderId="43" xfId="1" applyFont="1" applyBorder="1"/>
    <xf numFmtId="0" fontId="11" fillId="0" borderId="44" xfId="1" applyFont="1" applyBorder="1"/>
    <xf numFmtId="0" fontId="11" fillId="0" borderId="62" xfId="1" applyFont="1" applyBorder="1"/>
    <xf numFmtId="3" fontId="47" fillId="22" borderId="25" xfId="1" applyNumberFormat="1" applyFont="1" applyFill="1" applyBorder="1" applyAlignment="1" applyProtection="1">
      <alignment horizontal="center"/>
      <protection locked="0"/>
    </xf>
    <xf numFmtId="168" fontId="47" fillId="22" borderId="31" xfId="1" applyNumberFormat="1" applyFont="1" applyFill="1" applyBorder="1" applyAlignment="1" applyProtection="1">
      <alignment horizontal="center"/>
      <protection locked="0"/>
    </xf>
    <xf numFmtId="168" fontId="47" fillId="22" borderId="57" xfId="1" applyNumberFormat="1" applyFont="1" applyFill="1" applyBorder="1" applyAlignment="1" applyProtection="1">
      <alignment horizontal="center"/>
      <protection locked="0"/>
    </xf>
    <xf numFmtId="0" fontId="13" fillId="22" borderId="0" xfId="1" applyFont="1" applyFill="1" applyAlignment="1">
      <alignment horizontal="center" vertical="center" wrapText="1"/>
    </xf>
    <xf numFmtId="0" fontId="11" fillId="24" borderId="12" xfId="1" applyFont="1" applyFill="1" applyBorder="1" applyAlignment="1">
      <alignment vertical="top" wrapText="1"/>
    </xf>
    <xf numFmtId="0" fontId="11" fillId="24" borderId="3" xfId="1" applyFont="1" applyFill="1" applyBorder="1" applyAlignment="1">
      <alignment vertical="top" wrapText="1"/>
    </xf>
    <xf numFmtId="0" fontId="11" fillId="22" borderId="0" xfId="1" applyFont="1" applyFill="1" applyAlignment="1">
      <alignment horizontal="center" vertical="center" wrapText="1"/>
    </xf>
    <xf numFmtId="0" fontId="23" fillId="24" borderId="12" xfId="1" applyFont="1" applyFill="1" applyBorder="1" applyAlignment="1">
      <alignment horizontal="center" vertical="center"/>
    </xf>
    <xf numFmtId="0" fontId="11" fillId="6" borderId="19" xfId="1" applyFont="1" applyFill="1" applyBorder="1"/>
    <xf numFmtId="0" fontId="74" fillId="6" borderId="24" xfId="1" applyFont="1" applyFill="1" applyBorder="1"/>
    <xf numFmtId="0" fontId="74" fillId="6" borderId="26" xfId="1" applyFont="1" applyFill="1" applyBorder="1"/>
    <xf numFmtId="0" fontId="19" fillId="6" borderId="0" xfId="1" applyFont="1" applyFill="1" applyAlignment="1">
      <alignment horizontal="center"/>
    </xf>
    <xf numFmtId="0" fontId="11" fillId="6" borderId="21" xfId="1" applyFont="1" applyFill="1" applyBorder="1"/>
    <xf numFmtId="0" fontId="74" fillId="6" borderId="0" xfId="1" applyFont="1" applyFill="1"/>
    <xf numFmtId="0" fontId="74" fillId="6" borderId="56" xfId="1" applyFont="1" applyFill="1" applyBorder="1"/>
    <xf numFmtId="0" fontId="11" fillId="6" borderId="35" xfId="1" applyFont="1" applyFill="1" applyBorder="1"/>
    <xf numFmtId="0" fontId="11" fillId="6" borderId="37" xfId="1" applyFont="1" applyFill="1" applyBorder="1"/>
    <xf numFmtId="0" fontId="74" fillId="6" borderId="40" xfId="1" applyFont="1" applyFill="1" applyBorder="1" applyAlignment="1">
      <alignment wrapText="1"/>
    </xf>
    <xf numFmtId="0" fontId="74" fillId="6" borderId="55" xfId="1" applyFont="1" applyFill="1" applyBorder="1" applyAlignment="1">
      <alignment wrapText="1"/>
    </xf>
    <xf numFmtId="1" fontId="33" fillId="7" borderId="0" xfId="1" applyNumberFormat="1" applyFont="1" applyFill="1" applyProtection="1">
      <protection hidden="1"/>
    </xf>
    <xf numFmtId="3" fontId="47" fillId="22" borderId="107" xfId="1" applyNumberFormat="1" applyFont="1" applyFill="1" applyBorder="1" applyAlignment="1" applyProtection="1">
      <alignment horizontal="center"/>
      <protection locked="0"/>
    </xf>
    <xf numFmtId="0" fontId="32" fillId="0" borderId="108" xfId="1" applyFont="1" applyBorder="1"/>
    <xf numFmtId="0" fontId="32" fillId="0" borderId="109" xfId="1" applyFont="1" applyBorder="1"/>
    <xf numFmtId="3" fontId="47" fillId="22" borderId="110" xfId="1" applyNumberFormat="1" applyFont="1" applyFill="1" applyBorder="1" applyAlignment="1" applyProtection="1">
      <alignment horizontal="center"/>
      <protection locked="0"/>
    </xf>
    <xf numFmtId="1" fontId="47" fillId="24" borderId="1" xfId="1" applyNumberFormat="1" applyFont="1" applyFill="1" applyBorder="1" applyAlignment="1">
      <alignment horizontal="center"/>
    </xf>
    <xf numFmtId="165" fontId="48" fillId="22" borderId="111" xfId="1" applyNumberFormat="1" applyFont="1" applyFill="1" applyBorder="1" applyAlignment="1" applyProtection="1">
      <alignment horizontal="center"/>
      <protection locked="0"/>
    </xf>
    <xf numFmtId="9" fontId="48" fillId="22" borderId="112" xfId="1" applyNumberFormat="1" applyFont="1" applyFill="1" applyBorder="1" applyAlignment="1" applyProtection="1">
      <alignment horizontal="center"/>
      <protection locked="0"/>
    </xf>
    <xf numFmtId="0" fontId="76" fillId="0" borderId="63" xfId="1" applyFont="1" applyBorder="1"/>
    <xf numFmtId="1" fontId="19" fillId="25" borderId="1" xfId="1" applyNumberFormat="1" applyFont="1" applyFill="1" applyBorder="1" applyAlignment="1">
      <alignment horizontal="center"/>
    </xf>
    <xf numFmtId="1" fontId="19" fillId="26" borderId="1" xfId="1" applyNumberFormat="1" applyFont="1" applyFill="1" applyBorder="1" applyAlignment="1">
      <alignment horizontal="center"/>
    </xf>
    <xf numFmtId="168" fontId="48" fillId="7" borderId="34" xfId="1" applyNumberFormat="1" applyFont="1" applyFill="1" applyBorder="1" applyAlignment="1" applyProtection="1">
      <alignment horizontal="center"/>
      <protection hidden="1"/>
    </xf>
    <xf numFmtId="168" fontId="48" fillId="7" borderId="58" xfId="1" applyNumberFormat="1" applyFont="1" applyFill="1" applyBorder="1" applyAlignment="1" applyProtection="1">
      <alignment horizontal="center"/>
      <protection hidden="1"/>
    </xf>
    <xf numFmtId="168" fontId="48" fillId="7" borderId="1" xfId="1" applyNumberFormat="1" applyFont="1" applyFill="1" applyBorder="1" applyAlignment="1" applyProtection="1">
      <alignment horizontal="center"/>
      <protection hidden="1"/>
    </xf>
    <xf numFmtId="9" fontId="48" fillId="7" borderId="1" xfId="4" applyFont="1" applyFill="1" applyBorder="1" applyAlignment="1" applyProtection="1">
      <alignment horizontal="center"/>
      <protection hidden="1"/>
    </xf>
    <xf numFmtId="3" fontId="48" fillId="7" borderId="1" xfId="1" applyNumberFormat="1" applyFont="1" applyFill="1" applyBorder="1" applyAlignment="1" applyProtection="1">
      <alignment horizontal="center"/>
      <protection hidden="1"/>
    </xf>
    <xf numFmtId="168" fontId="48" fillId="7" borderId="1" xfId="4" applyNumberFormat="1" applyFont="1" applyFill="1" applyBorder="1" applyAlignment="1" applyProtection="1">
      <alignment horizontal="center"/>
      <protection hidden="1"/>
    </xf>
    <xf numFmtId="168" fontId="47" fillId="22" borderId="107" xfId="4" applyNumberFormat="1" applyFont="1" applyFill="1" applyBorder="1" applyAlignment="1" applyProtection="1">
      <alignment horizontal="center"/>
      <protection locked="0"/>
    </xf>
    <xf numFmtId="0" fontId="54" fillId="23" borderId="0" xfId="0" applyFont="1" applyFill="1" applyAlignment="1">
      <alignment horizontal="left" vertical="top" wrapText="1"/>
    </xf>
    <xf numFmtId="0" fontId="54" fillId="23" borderId="0" xfId="0" quotePrefix="1" applyFont="1" applyFill="1" applyAlignment="1">
      <alignment horizontal="left" vertical="top" wrapText="1"/>
    </xf>
    <xf numFmtId="0" fontId="54" fillId="23" borderId="0" xfId="0" quotePrefix="1" applyFont="1" applyFill="1" applyAlignment="1">
      <alignment wrapText="1"/>
    </xf>
    <xf numFmtId="0" fontId="54" fillId="23" borderId="103" xfId="0" applyFont="1" applyFill="1" applyBorder="1" applyAlignment="1">
      <alignment wrapText="1"/>
    </xf>
    <xf numFmtId="0" fontId="54" fillId="23" borderId="101" xfId="0" applyFont="1" applyFill="1" applyBorder="1" applyAlignment="1">
      <alignment wrapText="1"/>
    </xf>
    <xf numFmtId="0" fontId="72" fillId="13" borderId="0" xfId="0" applyFont="1" applyFill="1" applyProtection="1">
      <protection locked="0"/>
    </xf>
    <xf numFmtId="0" fontId="3" fillId="4" borderId="3" xfId="1" applyFont="1" applyFill="1" applyBorder="1" applyAlignment="1">
      <alignment horizontal="center"/>
    </xf>
    <xf numFmtId="0" fontId="3" fillId="4" borderId="9" xfId="1" applyFont="1" applyFill="1" applyBorder="1" applyAlignment="1">
      <alignment horizontal="center"/>
    </xf>
    <xf numFmtId="0" fontId="3" fillId="4" borderId="11" xfId="1" applyFont="1" applyFill="1" applyBorder="1" applyAlignment="1">
      <alignment horizontal="center"/>
    </xf>
    <xf numFmtId="0" fontId="3" fillId="4" borderId="4" xfId="1" applyFont="1" applyFill="1" applyBorder="1" applyAlignment="1">
      <alignment horizontal="center"/>
    </xf>
    <xf numFmtId="0" fontId="3" fillId="4" borderId="7" xfId="1" applyFont="1" applyFill="1" applyBorder="1" applyAlignment="1">
      <alignment horizontal="center"/>
    </xf>
    <xf numFmtId="0" fontId="3" fillId="4" borderId="1" xfId="1" applyFont="1" applyFill="1" applyBorder="1" applyAlignment="1">
      <alignment horizontal="center"/>
    </xf>
    <xf numFmtId="0" fontId="11" fillId="0" borderId="0" xfId="1" applyFont="1" applyAlignment="1">
      <alignment horizontal="center" vertical="center"/>
    </xf>
    <xf numFmtId="0" fontId="58" fillId="7" borderId="0" xfId="1" applyFont="1" applyFill="1" applyAlignment="1">
      <alignment vertical="top" wrapText="1"/>
    </xf>
    <xf numFmtId="0" fontId="68" fillId="15" borderId="0" xfId="1" applyFont="1" applyFill="1" applyAlignment="1">
      <alignment horizontal="center" vertical="center" wrapText="1"/>
    </xf>
    <xf numFmtId="0" fontId="58" fillId="15" borderId="0" xfId="1" applyFont="1" applyFill="1" applyAlignment="1">
      <alignment horizontal="center" vertical="center" wrapText="1"/>
    </xf>
    <xf numFmtId="0" fontId="11" fillId="15" borderId="0" xfId="1" applyFont="1" applyFill="1" applyAlignment="1">
      <alignment vertical="center" wrapText="1"/>
    </xf>
    <xf numFmtId="0" fontId="11" fillId="7" borderId="0" xfId="1" applyFont="1" applyFill="1" applyAlignment="1">
      <alignment wrapText="1"/>
    </xf>
    <xf numFmtId="0" fontId="55" fillId="7" borderId="54" xfId="1" applyFont="1" applyFill="1" applyBorder="1" applyAlignment="1">
      <alignment horizontal="left"/>
    </xf>
    <xf numFmtId="0" fontId="55" fillId="7" borderId="55" xfId="1" applyFont="1" applyFill="1" applyBorder="1" applyAlignment="1">
      <alignment horizontal="left"/>
    </xf>
    <xf numFmtId="1" fontId="34" fillId="6" borderId="17" xfId="1" applyNumberFormat="1" applyFont="1" applyFill="1" applyBorder="1" applyAlignment="1" applyProtection="1">
      <alignment horizontal="center"/>
      <protection hidden="1"/>
    </xf>
    <xf numFmtId="1" fontId="34" fillId="6" borderId="18" xfId="1" applyNumberFormat="1" applyFont="1" applyFill="1" applyBorder="1" applyAlignment="1" applyProtection="1">
      <alignment horizontal="center"/>
      <protection hidden="1"/>
    </xf>
    <xf numFmtId="0" fontId="45" fillId="6" borderId="20" xfId="1" applyFont="1" applyFill="1" applyBorder="1" applyAlignment="1">
      <alignment horizontal="center"/>
    </xf>
    <xf numFmtId="1" fontId="46" fillId="7" borderId="2" xfId="1" applyNumberFormat="1" applyFont="1" applyFill="1" applyBorder="1" applyAlignment="1" applyProtection="1">
      <alignment horizontal="center"/>
      <protection hidden="1"/>
    </xf>
    <xf numFmtId="1" fontId="46" fillId="7" borderId="4" xfId="1" applyNumberFormat="1" applyFont="1" applyFill="1" applyBorder="1" applyAlignment="1" applyProtection="1">
      <alignment horizontal="center"/>
      <protection hidden="1"/>
    </xf>
    <xf numFmtId="1" fontId="46" fillId="7" borderId="10" xfId="1" applyNumberFormat="1" applyFont="1" applyFill="1" applyBorder="1" applyAlignment="1" applyProtection="1">
      <alignment horizontal="center"/>
      <protection hidden="1"/>
    </xf>
    <xf numFmtId="1" fontId="46" fillId="7" borderId="32" xfId="1" applyNumberFormat="1" applyFont="1" applyFill="1" applyBorder="1" applyAlignment="1" applyProtection="1">
      <alignment horizontal="center"/>
      <protection hidden="1"/>
    </xf>
    <xf numFmtId="0" fontId="77" fillId="7" borderId="54" xfId="1" applyFont="1" applyFill="1" applyBorder="1" applyAlignment="1">
      <alignment horizontal="left"/>
    </xf>
    <xf numFmtId="0" fontId="77" fillId="7" borderId="55" xfId="1" applyFont="1" applyFill="1" applyBorder="1" applyAlignment="1">
      <alignment horizontal="left"/>
    </xf>
    <xf numFmtId="0" fontId="77" fillId="7" borderId="64" xfId="1" applyFont="1" applyFill="1" applyBorder="1" applyAlignment="1">
      <alignment horizontal="left"/>
    </xf>
    <xf numFmtId="1" fontId="34" fillId="14" borderId="17" xfId="1" applyNumberFormat="1" applyFont="1" applyFill="1" applyBorder="1" applyAlignment="1" applyProtection="1">
      <alignment horizontal="center"/>
      <protection hidden="1"/>
    </xf>
    <xf numFmtId="1" fontId="34" fillId="14" borderId="18" xfId="1" applyNumberFormat="1" applyFont="1" applyFill="1" applyBorder="1" applyAlignment="1" applyProtection="1">
      <alignment horizontal="center"/>
      <protection hidden="1"/>
    </xf>
    <xf numFmtId="0" fontId="50" fillId="0" borderId="56" xfId="1" applyFont="1" applyBorder="1" applyAlignment="1">
      <alignment horizontal="left"/>
    </xf>
    <xf numFmtId="0" fontId="50" fillId="0" borderId="60" xfId="1" applyFont="1" applyBorder="1" applyAlignment="1">
      <alignment horizontal="left"/>
    </xf>
    <xf numFmtId="0" fontId="50" fillId="0" borderId="61" xfId="1" applyFont="1" applyBorder="1" applyAlignment="1">
      <alignment horizontal="left"/>
    </xf>
    <xf numFmtId="1" fontId="34" fillId="0" borderId="17" xfId="1" applyNumberFormat="1" applyFont="1" applyBorder="1" applyAlignment="1" applyProtection="1">
      <alignment horizontal="center"/>
      <protection hidden="1"/>
    </xf>
    <xf numFmtId="1" fontId="34" fillId="0" borderId="18" xfId="1" applyNumberFormat="1" applyFont="1" applyBorder="1" applyAlignment="1" applyProtection="1">
      <alignment horizontal="center"/>
      <protection hidden="1"/>
    </xf>
    <xf numFmtId="0" fontId="45" fillId="6" borderId="36" xfId="1" applyFont="1" applyFill="1" applyBorder="1" applyAlignment="1">
      <alignment horizontal="center" wrapText="1"/>
    </xf>
    <xf numFmtId="1" fontId="48" fillId="7" borderId="2" xfId="1" applyNumberFormat="1" applyFont="1" applyFill="1" applyBorder="1" applyAlignment="1" applyProtection="1">
      <alignment horizontal="center"/>
      <protection hidden="1"/>
    </xf>
    <xf numFmtId="1" fontId="48" fillId="7" borderId="4" xfId="1" applyNumberFormat="1" applyFont="1" applyFill="1" applyBorder="1" applyAlignment="1" applyProtection="1">
      <alignment horizontal="center"/>
      <protection hidden="1"/>
    </xf>
    <xf numFmtId="0" fontId="33" fillId="18" borderId="83" xfId="1" applyFont="1" applyFill="1" applyBorder="1" applyAlignment="1">
      <alignment horizontal="center" wrapText="1"/>
    </xf>
    <xf numFmtId="0" fontId="33" fillId="18" borderId="45" xfId="1" applyFont="1" applyFill="1" applyBorder="1" applyAlignment="1">
      <alignment horizontal="center" wrapText="1"/>
    </xf>
    <xf numFmtId="0" fontId="53" fillId="18" borderId="72" xfId="1" applyFont="1" applyFill="1" applyBorder="1" applyAlignment="1">
      <alignment horizontal="center"/>
    </xf>
    <xf numFmtId="0" fontId="53" fillId="18" borderId="96" xfId="1" applyFont="1" applyFill="1" applyBorder="1" applyAlignment="1">
      <alignment horizontal="center"/>
    </xf>
    <xf numFmtId="0" fontId="53" fillId="18" borderId="80" xfId="1" applyFont="1" applyFill="1" applyBorder="1" applyAlignment="1">
      <alignment horizontal="center"/>
    </xf>
    <xf numFmtId="0" fontId="53" fillId="18" borderId="81" xfId="1" applyFont="1" applyFill="1" applyBorder="1" applyAlignment="1">
      <alignment horizontal="center"/>
    </xf>
    <xf numFmtId="0" fontId="53" fillId="18" borderId="83" xfId="1" applyFont="1" applyFill="1" applyBorder="1" applyAlignment="1">
      <alignment horizontal="center"/>
    </xf>
    <xf numFmtId="0" fontId="53" fillId="18" borderId="45" xfId="1" applyFont="1" applyFill="1" applyBorder="1" applyAlignment="1">
      <alignment horizontal="center"/>
    </xf>
    <xf numFmtId="0" fontId="53" fillId="18" borderId="92" xfId="1" applyFont="1" applyFill="1" applyBorder="1" applyAlignment="1">
      <alignment horizontal="center"/>
    </xf>
    <xf numFmtId="0" fontId="53" fillId="18" borderId="97" xfId="1" applyFont="1" applyFill="1" applyBorder="1" applyAlignment="1">
      <alignment horizontal="center"/>
    </xf>
    <xf numFmtId="0" fontId="53" fillId="18" borderId="87" xfId="1" applyFont="1" applyFill="1" applyBorder="1" applyAlignment="1">
      <alignment horizontal="center" wrapText="1"/>
    </xf>
    <xf numFmtId="0" fontId="53" fillId="18" borderId="88" xfId="1" applyFont="1" applyFill="1" applyBorder="1" applyAlignment="1">
      <alignment horizontal="center" wrapText="1"/>
    </xf>
    <xf numFmtId="0" fontId="53" fillId="18" borderId="90" xfId="1" applyFont="1" applyFill="1" applyBorder="1" applyAlignment="1">
      <alignment horizontal="center"/>
    </xf>
    <xf numFmtId="0" fontId="53" fillId="18" borderId="98" xfId="1" applyFont="1" applyFill="1" applyBorder="1" applyAlignment="1">
      <alignment horizontal="center"/>
    </xf>
    <xf numFmtId="0" fontId="53" fillId="18" borderId="80" xfId="1" applyFont="1" applyFill="1" applyBorder="1" applyAlignment="1">
      <alignment horizontal="center" wrapText="1"/>
    </xf>
    <xf numFmtId="0" fontId="53" fillId="18" borderId="81" xfId="1" applyFont="1" applyFill="1" applyBorder="1" applyAlignment="1">
      <alignment horizontal="center" wrapText="1"/>
    </xf>
    <xf numFmtId="0" fontId="53" fillId="18" borderId="67" xfId="1" applyFont="1" applyFill="1" applyBorder="1" applyAlignment="1">
      <alignment horizontal="center"/>
    </xf>
    <xf numFmtId="0" fontId="53" fillId="18" borderId="99" xfId="1" applyFont="1" applyFill="1" applyBorder="1" applyAlignment="1">
      <alignment horizontal="center"/>
    </xf>
    <xf numFmtId="0" fontId="34" fillId="14" borderId="0" xfId="1" applyFont="1" applyFill="1" applyAlignment="1">
      <alignment horizontal="center" vertical="center"/>
    </xf>
    <xf numFmtId="0" fontId="53" fillId="18" borderId="90" xfId="1" applyFont="1" applyFill="1" applyBorder="1" applyAlignment="1">
      <alignment horizontal="center" wrapText="1"/>
    </xf>
    <xf numFmtId="0" fontId="53" fillId="18" borderId="98" xfId="1" applyFont="1" applyFill="1" applyBorder="1" applyAlignment="1">
      <alignment horizontal="center" wrapText="1"/>
    </xf>
    <xf numFmtId="0" fontId="53" fillId="18" borderId="83" xfId="1" applyFont="1" applyFill="1" applyBorder="1" applyAlignment="1">
      <alignment horizontal="center" wrapText="1"/>
    </xf>
    <xf numFmtId="0" fontId="53" fillId="18" borderId="45" xfId="1" applyFont="1" applyFill="1" applyBorder="1" applyAlignment="1">
      <alignment horizontal="center" wrapText="1"/>
    </xf>
    <xf numFmtId="0" fontId="53" fillId="18" borderId="85" xfId="1" applyFont="1" applyFill="1" applyBorder="1" applyAlignment="1">
      <alignment horizontal="center" wrapText="1"/>
    </xf>
    <xf numFmtId="0" fontId="53" fillId="18" borderId="46" xfId="1" applyFont="1" applyFill="1" applyBorder="1" applyAlignment="1">
      <alignment horizontal="center" wrapText="1"/>
    </xf>
    <xf numFmtId="1" fontId="38" fillId="18" borderId="0" xfId="1" applyNumberFormat="1" applyFont="1" applyFill="1" applyAlignment="1">
      <alignment horizontal="center"/>
    </xf>
    <xf numFmtId="0" fontId="40" fillId="18" borderId="50" xfId="1" applyFont="1" applyFill="1" applyBorder="1" applyAlignment="1">
      <alignment horizontal="left"/>
    </xf>
    <xf numFmtId="0" fontId="40" fillId="18" borderId="51" xfId="1" applyFont="1" applyFill="1" applyBorder="1" applyAlignment="1">
      <alignment horizontal="left"/>
    </xf>
    <xf numFmtId="0" fontId="44" fillId="18" borderId="50" xfId="1" applyFont="1" applyFill="1" applyBorder="1" applyAlignment="1">
      <alignment horizontal="left"/>
    </xf>
    <xf numFmtId="0" fontId="44" fillId="18" borderId="51" xfId="1" applyFont="1" applyFill="1" applyBorder="1" applyAlignment="1">
      <alignment horizontal="left"/>
    </xf>
    <xf numFmtId="1" fontId="40" fillId="18" borderId="104" xfId="1" applyNumberFormat="1" applyFont="1" applyFill="1" applyBorder="1" applyAlignment="1">
      <alignment horizontal="center" vertical="center"/>
    </xf>
    <xf numFmtId="1" fontId="40" fillId="18" borderId="105" xfId="1" applyNumberFormat="1" applyFont="1" applyFill="1" applyBorder="1" applyAlignment="1">
      <alignment horizontal="center" vertical="center"/>
    </xf>
    <xf numFmtId="1" fontId="40" fillId="18" borderId="106" xfId="1" applyNumberFormat="1" applyFont="1" applyFill="1" applyBorder="1" applyAlignment="1">
      <alignment horizontal="center" vertical="center"/>
    </xf>
    <xf numFmtId="0" fontId="41" fillId="18" borderId="0" xfId="1" applyFont="1" applyFill="1" applyAlignment="1">
      <alignment horizontal="left" wrapText="1"/>
    </xf>
    <xf numFmtId="1" fontId="40" fillId="18" borderId="0" xfId="1" applyNumberFormat="1" applyFont="1" applyFill="1" applyAlignment="1">
      <alignment horizontal="center"/>
    </xf>
    <xf numFmtId="0" fontId="13" fillId="22" borderId="0" xfId="1" applyFont="1" applyFill="1" applyAlignment="1">
      <alignment horizontal="center" vertical="center" wrapText="1"/>
    </xf>
    <xf numFmtId="0" fontId="11" fillId="22" borderId="0" xfId="1" applyFont="1" applyFill="1" applyAlignment="1">
      <alignment vertical="center"/>
    </xf>
    <xf numFmtId="0" fontId="11" fillId="7" borderId="0" xfId="1" applyFont="1" applyFill="1" applyAlignment="1">
      <alignment horizontal="left" vertical="top" wrapText="1"/>
    </xf>
    <xf numFmtId="3" fontId="47" fillId="7" borderId="1" xfId="1" applyNumberFormat="1" applyFont="1" applyFill="1" applyBorder="1" applyAlignment="1" applyProtection="1">
      <alignment horizontal="center"/>
    </xf>
    <xf numFmtId="165" fontId="47" fillId="24" borderId="1" xfId="1" applyNumberFormat="1" applyFont="1" applyFill="1" applyBorder="1" applyAlignment="1" applyProtection="1">
      <alignment horizontal="center"/>
    </xf>
  </cellXfs>
  <cellStyles count="7">
    <cellStyle name="Hyperlänk" xfId="6" builtinId="8"/>
    <cellStyle name="Normal" xfId="0" builtinId="0"/>
    <cellStyle name="Normal 2" xfId="1" xr:uid="{9EAC32E0-098E-4CDF-A187-C5B804D3CCBF}"/>
    <cellStyle name="Procent" xfId="4" builtinId="5"/>
    <cellStyle name="Procent 2" xfId="5" xr:uid="{371F0794-E902-4A3E-9A7C-B564B5F4B4C3}"/>
    <cellStyle name="Tusental" xfId="3" builtinId="3"/>
    <cellStyle name="Tusental 2" xfId="2" xr:uid="{00000000-0005-0000-0000-000030000000}"/>
  </cellStyles>
  <dxfs count="2">
    <dxf>
      <fill>
        <patternFill>
          <bgColor rgb="FFF7CAAD"/>
        </patternFill>
      </fill>
    </dxf>
    <dxf>
      <fill>
        <patternFill>
          <bgColor rgb="FF79D3C2"/>
        </patternFill>
      </fill>
    </dxf>
  </dxfs>
  <tableStyles count="0" defaultTableStyle="TableStyleMedium2" defaultPivotStyle="PivotStyleLight16"/>
  <colors>
    <mruColors>
      <color rgb="FFDBF0F6"/>
      <color rgb="FFD4F0F6"/>
      <color rgb="FF007DC5"/>
      <color rgb="FF002744"/>
      <color rgb="FFECB94F"/>
      <color rgb="FF002B45"/>
      <color rgb="FFF8F2E8"/>
      <color rgb="FFFCFAF5"/>
      <color rgb="FF00A380"/>
      <color rgb="FFEDDD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microsoft.com/office/2017/06/relationships/rdRichValueStructure" Target="richData/rdrichvaluestructure.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theme" Target="theme/theme1.xml"/><Relationship Id="rId17" Type="http://schemas.microsoft.com/office/2017/06/relationships/rdRichValue" Target="richData/rdrichvalue.xml"/><Relationship Id="rId2" Type="http://schemas.openxmlformats.org/officeDocument/2006/relationships/worksheet" Target="worksheets/sheet2.xml"/><Relationship Id="rId16" Type="http://schemas.microsoft.com/office/2022/10/relationships/richValueRel" Target="richData/richValueRel.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eetMetadata" Target="metadata.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06/relationships/rdRichValueTypes" Target="richData/rdRichValueTyp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stacked"/>
        <c:varyColors val="0"/>
        <c:ser>
          <c:idx val="0"/>
          <c:order val="0"/>
          <c:tx>
            <c:strRef>
              <c:f>'Översikt - Vårdplatspotential'!$X$25</c:f>
              <c:strCache>
                <c:ptCount val="1"/>
                <c:pt idx="0">
                  <c:v>Basvärde</c:v>
                </c:pt>
              </c:strCache>
            </c:strRef>
          </c:tx>
          <c:spPr>
            <a:solidFill>
              <a:srgbClr val="005892"/>
            </a:solidFill>
            <a:ln w="3810">
              <a:noFill/>
            </a:ln>
            <a:effectLst/>
          </c:spPr>
          <c:invertIfNegative val="0"/>
          <c:dPt>
            <c:idx val="0"/>
            <c:invertIfNegative val="0"/>
            <c:bubble3D val="0"/>
            <c:spPr>
              <a:solidFill>
                <a:srgbClr val="C75136"/>
              </a:solidFill>
              <a:ln w="3810">
                <a:noFill/>
              </a:ln>
              <a:effectLst/>
            </c:spPr>
            <c:extLst>
              <c:ext xmlns:c16="http://schemas.microsoft.com/office/drawing/2014/chart" uri="{C3380CC4-5D6E-409C-BE32-E72D297353CC}">
                <c16:uniqueId val="{00000002-C17D-49E1-B596-6AFB55264691}"/>
              </c:ext>
            </c:extLst>
          </c:dPt>
          <c:dPt>
            <c:idx val="1"/>
            <c:invertIfNegative val="0"/>
            <c:bubble3D val="0"/>
            <c:spPr>
              <a:solidFill>
                <a:sysClr val="window" lastClr="FFFFFF"/>
              </a:solidFill>
              <a:ln w="3810">
                <a:noFill/>
              </a:ln>
              <a:effectLst/>
            </c:spPr>
            <c:extLst>
              <c:ext xmlns:c16="http://schemas.microsoft.com/office/drawing/2014/chart" uri="{C3380CC4-5D6E-409C-BE32-E72D297353CC}">
                <c16:uniqueId val="{00000001-C17D-49E1-B596-6AFB55264691}"/>
              </c:ext>
            </c:extLst>
          </c:dPt>
          <c:dLbls>
            <c:dLbl>
              <c:idx val="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showLegendKey val="0"/>
              <c:showVal val="1"/>
              <c:showCatName val="0"/>
              <c:showSerName val="0"/>
              <c:showPercent val="0"/>
              <c:showBubbleSize val="0"/>
              <c:extLst>
                <c:ext xmlns:c16="http://schemas.microsoft.com/office/drawing/2014/chart" uri="{C3380CC4-5D6E-409C-BE32-E72D297353CC}">
                  <c16:uniqueId val="{00000002-C17D-49E1-B596-6AFB55264691}"/>
                </c:ext>
              </c:extLst>
            </c:dLbl>
            <c:dLbl>
              <c:idx val="1"/>
              <c:delete val="1"/>
              <c:extLst>
                <c:ext xmlns:c15="http://schemas.microsoft.com/office/drawing/2012/chart" uri="{CE6537A1-D6FC-4f65-9D91-7224C49458BB}"/>
                <c:ext xmlns:c16="http://schemas.microsoft.com/office/drawing/2014/chart" uri="{C3380CC4-5D6E-409C-BE32-E72D297353CC}">
                  <c16:uniqueId val="{00000001-C17D-49E1-B596-6AFB5526469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'Översikt - Vårdplatspotential'!$W$26:$W$27</c:f>
              <c:strCache>
                <c:ptCount val="2"/>
                <c:pt idx="0">
                  <c:v>Antal disponibla vårdplatser 2024 </c:v>
                </c:pt>
                <c:pt idx="1">
                  <c:v>Potentiella vårdplatser vid måluppfyllese av målsatta mått</c:v>
                </c:pt>
              </c:strCache>
            </c:strRef>
          </c:cat>
          <c:val>
            <c:numRef>
              <c:f>'Översikt - Vårdplatspotential'!$X$26:$X$27</c:f>
              <c:numCache>
                <c:formatCode>0</c:formatCode>
                <c:ptCount val="2"/>
                <c:pt idx="0">
                  <c:v>377</c:v>
                </c:pt>
                <c:pt idx="1">
                  <c:v>377</c:v>
                </c:pt>
              </c:numCache>
            </c:numRef>
          </c:val>
          <c:extLst>
            <c:ext xmlns:c16="http://schemas.microsoft.com/office/drawing/2014/chart" uri="{C3380CC4-5D6E-409C-BE32-E72D297353CC}">
              <c16:uniqueId val="{00000003-C17D-49E1-B596-6AFB55264691}"/>
            </c:ext>
          </c:extLst>
        </c:ser>
        <c:ser>
          <c:idx val="1"/>
          <c:order val="1"/>
          <c:tx>
            <c:strRef>
              <c:f>'Översikt - Vårdplatspotential'!$Y$25</c:f>
              <c:strCache>
                <c:ptCount val="1"/>
                <c:pt idx="0">
                  <c:v>Tilläggsvärde</c:v>
                </c:pt>
              </c:strCache>
            </c:strRef>
          </c:tx>
          <c:spPr>
            <a:solidFill>
              <a:srgbClr val="B27B2A"/>
            </a:solidFill>
            <a:ln w="3810">
              <a:no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17D-49E1-B596-6AFB55264691}"/>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'Översikt - Vårdplatspotential'!$W$26:$W$27</c:f>
              <c:strCache>
                <c:ptCount val="2"/>
                <c:pt idx="0">
                  <c:v>Antal disponibla vårdplatser 2024 </c:v>
                </c:pt>
                <c:pt idx="1">
                  <c:v>Potentiella vårdplatser vid måluppfyllese av målsatta mått</c:v>
                </c:pt>
              </c:strCache>
            </c:strRef>
          </c:cat>
          <c:val>
            <c:numRef>
              <c:f>'Översikt - Vårdplatspotential'!$Y$26:$Y$27</c:f>
              <c:numCache>
                <c:formatCode>0</c:formatCode>
                <c:ptCount val="2"/>
                <c:pt idx="0">
                  <c:v>0</c:v>
                </c:pt>
                <c:pt idx="1">
                  <c:v>63.340878073442795</c:v>
                </c:pt>
              </c:numCache>
            </c:numRef>
          </c:val>
          <c:extLst>
            <c:ext xmlns:c16="http://schemas.microsoft.com/office/drawing/2014/chart" uri="{C3380CC4-5D6E-409C-BE32-E72D297353CC}">
              <c16:uniqueId val="{00000005-C17D-49E1-B596-6AFB55264691}"/>
            </c:ext>
          </c:extLst>
        </c:ser>
        <c:dLbls>
          <c:showLegendKey val="0"/>
          <c:showVal val="0"/>
          <c:showCatName val="0"/>
          <c:showSerName val="0"/>
          <c:showPercent val="0"/>
          <c:showBubbleSize val="0"/>
        </c:dLbls>
        <c:gapWidth val="90"/>
        <c:overlap val="100"/>
        <c:axId val="674927696"/>
        <c:axId val="674928176"/>
      </c:barChart>
      <c:lineChart>
        <c:grouping val="standard"/>
        <c:varyColors val="0"/>
        <c:ser>
          <c:idx val="2"/>
          <c:order val="2"/>
          <c:tx>
            <c:strRef>
              <c:f>'Översikt - Vårdplatspotential'!$Z$25</c:f>
              <c:strCache>
                <c:ptCount val="1"/>
                <c:pt idx="0">
                  <c:v>Riktvärde för behov av antal vårdplatser på kort sikt </c:v>
                </c:pt>
              </c:strCache>
            </c:strRef>
          </c:tx>
          <c:spPr>
            <a:ln w="28575" cap="rnd">
              <a:solidFill>
                <a:srgbClr val="C75136"/>
              </a:solidFill>
              <a:round/>
            </a:ln>
            <a:effectLst/>
          </c:spPr>
          <c:marker>
            <c:symbol val="none"/>
          </c:marker>
          <c:cat>
            <c:strRef>
              <c:f>'Översikt - Vårdplatspotential'!$W$26:$W$27</c:f>
              <c:strCache>
                <c:ptCount val="2"/>
                <c:pt idx="0">
                  <c:v>Antal disponibla vårdplatser 2024 </c:v>
                </c:pt>
                <c:pt idx="1">
                  <c:v>Potentiella vårdplatser vid måluppfyllese av målsatta mått</c:v>
                </c:pt>
              </c:strCache>
            </c:strRef>
          </c:cat>
          <c:val>
            <c:numRef>
              <c:f>'Översikt - Vårdplatspotential'!$Z$26:$Z$27</c:f>
              <c:numCache>
                <c:formatCode>0</c:formatCode>
                <c:ptCount val="2"/>
                <c:pt idx="0">
                  <c:v>414.8189429826744</c:v>
                </c:pt>
                <c:pt idx="1">
                  <c:v>414.8189429826744</c:v>
                </c:pt>
              </c:numCache>
            </c:numRef>
          </c:val>
          <c:smooth val="0"/>
          <c:extLst>
            <c:ext xmlns:c16="http://schemas.microsoft.com/office/drawing/2014/chart" uri="{C3380CC4-5D6E-409C-BE32-E72D297353CC}">
              <c16:uniqueId val="{00000006-C17D-49E1-B596-6AFB55264691}"/>
            </c:ext>
          </c:extLst>
        </c:ser>
        <c:dLbls>
          <c:showLegendKey val="0"/>
          <c:showVal val="0"/>
          <c:showCatName val="0"/>
          <c:showSerName val="0"/>
          <c:showPercent val="0"/>
          <c:showBubbleSize val="0"/>
        </c:dLbls>
        <c:marker val="1"/>
        <c:smooth val="0"/>
        <c:axId val="674927696"/>
        <c:axId val="674928176"/>
      </c:lineChart>
      <c:catAx>
        <c:axId val="674927696"/>
        <c:scaling>
          <c:orientation val="minMax"/>
        </c:scaling>
        <c:delete val="0"/>
        <c:axPos val="b"/>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l"/>
        <c:majorGridlines>
          <c:spPr>
            <a:ln w="9525"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Antal</a:t>
                </a:r>
                <a:r>
                  <a:rPr lang="sv-SE" baseline="0"/>
                  <a:t> disponibla vårdplatser</a:t>
                </a:r>
                <a:endParaRPr lang="sv-SE"/>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majorUnit val="100"/>
        <c:minorUnit val="5"/>
      </c:valAx>
      <c:spPr>
        <a:noFill/>
        <a:ln>
          <a:noFill/>
        </a:ln>
        <a:effectLst/>
      </c:spPr>
    </c:plotArea>
    <c:legend>
      <c:legendPos val="t"/>
      <c:legendEntry>
        <c:idx val="0"/>
        <c:delete val="1"/>
      </c:legendEntry>
      <c:legendEntry>
        <c:idx val="1"/>
        <c:delete val="1"/>
      </c:legendEntry>
      <c:layout>
        <c:manualLayout>
          <c:xMode val="edge"/>
          <c:yMode val="edge"/>
          <c:x val="0.17789628414179742"/>
          <c:y val="3.5632093872847652E-2"/>
          <c:w val="0.64087390609510131"/>
          <c:h val="0.11894477477965938"/>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002B45"/>
      </a:solid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stacked"/>
        <c:varyColors val="0"/>
        <c:ser>
          <c:idx val="0"/>
          <c:order val="0"/>
          <c:tx>
            <c:strRef>
              <c:f>'Översikt - Vårdplatspotential'!$W$31</c:f>
              <c:strCache>
                <c:ptCount val="1"/>
                <c:pt idx="0">
                  <c:v>Kapacitetsmått</c:v>
                </c:pt>
              </c:strCache>
            </c:strRef>
          </c:tx>
          <c:spPr>
            <a:solidFill>
              <a:srgbClr val="017CC1"/>
            </a:solidFill>
            <a:ln w="3810">
              <a:solidFill>
                <a:srgbClr val="017CC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'Översikt - Vårdplatspotential'!$X$30</c:f>
              <c:strCache>
                <c:ptCount val="1"/>
                <c:pt idx="0">
                  <c:v>Potentiella vårdplatser vid måluppfyllese av målsatta mått</c:v>
                </c:pt>
              </c:strCache>
            </c:strRef>
          </c:cat>
          <c:val>
            <c:numRef>
              <c:f>'Översikt - Vårdplatspotential'!$X$31</c:f>
              <c:numCache>
                <c:formatCode>_-* #\ ##0\ _k_r_-;\-* #\ ##0\ _k_r_-;_-* "-"??\ _k_r_-;_-@_-</c:formatCode>
                <c:ptCount val="1"/>
                <c:pt idx="0">
                  <c:v>37.014869669954599</c:v>
                </c:pt>
              </c:numCache>
            </c:numRef>
          </c:val>
          <c:extLst>
            <c:ext xmlns:c16="http://schemas.microsoft.com/office/drawing/2014/chart" uri="{C3380CC4-5D6E-409C-BE32-E72D297353CC}">
              <c16:uniqueId val="{00000000-49A1-4AF1-A67D-22D8086EA713}"/>
            </c:ext>
          </c:extLst>
        </c:ser>
        <c:ser>
          <c:idx val="1"/>
          <c:order val="1"/>
          <c:tx>
            <c:strRef>
              <c:f>'Översikt - Vårdplatspotential'!$W$32</c:f>
              <c:strCache>
                <c:ptCount val="1"/>
                <c:pt idx="0">
                  <c:v>Behovsmått</c:v>
                </c:pt>
              </c:strCache>
            </c:strRef>
          </c:tx>
          <c:spPr>
            <a:solidFill>
              <a:srgbClr val="002B45"/>
            </a:solidFill>
            <a:ln>
              <a:solidFill>
                <a:srgbClr val="002744"/>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'Översikt - Vårdplatspotential'!$X$30</c:f>
              <c:strCache>
                <c:ptCount val="1"/>
                <c:pt idx="0">
                  <c:v>Potentiella vårdplatser vid måluppfyllese av målsatta mått</c:v>
                </c:pt>
              </c:strCache>
            </c:strRef>
          </c:cat>
          <c:val>
            <c:numRef>
              <c:f>'Översikt - Vårdplatspotential'!$X$32</c:f>
              <c:numCache>
                <c:formatCode>_-* #\ ##0\ _k_r_-;\-* #\ ##0\ _k_r_-;_-* "-"??\ _k_r_-;_-@_-</c:formatCode>
                <c:ptCount val="1"/>
                <c:pt idx="0">
                  <c:v>26.326008403488192</c:v>
                </c:pt>
              </c:numCache>
            </c:numRef>
          </c:val>
          <c:extLst>
            <c:ext xmlns:c16="http://schemas.microsoft.com/office/drawing/2014/chart" uri="{C3380CC4-5D6E-409C-BE32-E72D297353CC}">
              <c16:uniqueId val="{00000008-605A-49CC-B8E8-E5215127E351}"/>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b"/>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l"/>
        <c:majorGridlines>
          <c:spPr>
            <a:ln w="9525"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Antal disponibla vårdplatser</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_-* #\ ##0\ _k_r_-;\-* #\ ##0\ _k_r_-;_-* &quot;-&quot;??\ _k_r_-;_-@_-"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002744"/>
      </a:solid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stacked"/>
        <c:varyColors val="0"/>
        <c:ser>
          <c:idx val="2"/>
          <c:order val="0"/>
          <c:tx>
            <c:strRef>
              <c:f>Kapacitetsmått!$B$9</c:f>
              <c:strCache>
                <c:ptCount val="1"/>
                <c:pt idx="0">
                  <c:v>Avgångar för sjuksköterskor</c:v>
                </c:pt>
              </c:strCache>
            </c:strRef>
          </c:tx>
          <c:spPr>
            <a:solidFill>
              <a:srgbClr val="00385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Kapacitetsmått!$L$6</c:f>
              <c:strCache>
                <c:ptCount val="1"/>
                <c:pt idx="0">
                  <c:v>Vårdplats-potential (beräknat)</c:v>
                </c:pt>
              </c:strCache>
            </c:strRef>
          </c:cat>
          <c:val>
            <c:numRef>
              <c:f>Kapacitetsmått!$L$9</c:f>
              <c:numCache>
                <c:formatCode>_-* #\ ##0\ _k_r_-;\-* #\ ##0\ _k_r_-;_-* "-"??\ _k_r_-;_-@_-</c:formatCode>
                <c:ptCount val="1"/>
                <c:pt idx="0">
                  <c:v>8.552121205668886</c:v>
                </c:pt>
              </c:numCache>
            </c:numRef>
          </c:val>
          <c:extLst>
            <c:ext xmlns:c16="http://schemas.microsoft.com/office/drawing/2014/chart" uri="{C3380CC4-5D6E-409C-BE32-E72D297353CC}">
              <c16:uniqueId val="{00000009-F71E-4786-BDC9-9B7078D736B6}"/>
            </c:ext>
          </c:extLst>
        </c:ser>
        <c:ser>
          <c:idx val="0"/>
          <c:order val="1"/>
          <c:tx>
            <c:strRef>
              <c:f>Kapacitetsmått!$B$7</c:f>
              <c:strCache>
                <c:ptCount val="1"/>
                <c:pt idx="0">
                  <c:v>Långtidssjukfrånvaro för sjuksköterskor</c:v>
                </c:pt>
              </c:strCache>
            </c:strRef>
          </c:tx>
          <c:spPr>
            <a:solidFill>
              <a:srgbClr val="017CC1"/>
            </a:solidFill>
            <a:ln w="3810">
              <a:solidFill>
                <a:srgbClr val="017CC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Kapacitetsmått!$L$6</c:f>
              <c:strCache>
                <c:ptCount val="1"/>
                <c:pt idx="0">
                  <c:v>Vårdplats-potential (beräknat)</c:v>
                </c:pt>
              </c:strCache>
            </c:strRef>
          </c:cat>
          <c:val>
            <c:numRef>
              <c:f>Kapacitetsmått!$L$7</c:f>
              <c:numCache>
                <c:formatCode>_-* #\ ##0\ _k_r_-;\-* #\ ##0\ _k_r_-;_-* "-"??\ _k_r_-;_-@_-</c:formatCode>
                <c:ptCount val="1"/>
                <c:pt idx="0">
                  <c:v>28.462748464285713</c:v>
                </c:pt>
              </c:numCache>
            </c:numRef>
          </c:val>
          <c:extLst>
            <c:ext xmlns:c16="http://schemas.microsoft.com/office/drawing/2014/chart" uri="{C3380CC4-5D6E-409C-BE32-E72D297353CC}">
              <c16:uniqueId val="{00000000-49A1-4AF1-A67D-22D8086EA713}"/>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b"/>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l"/>
        <c:majorGridlines>
          <c:spPr>
            <a:ln w="9525"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Antal disponibla</a:t>
                </a:r>
                <a:r>
                  <a:rPr lang="sv-SE" baseline="0"/>
                  <a:t> vårdplatser</a:t>
                </a:r>
                <a:endParaRPr lang="sv-SE"/>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_-* #\ ##0\ _k_r_-;\-* #\ ##0\ _k_r_-;_-* &quot;-&quot;??\ _k_r_-;_-@_-"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stacked"/>
        <c:varyColors val="0"/>
        <c:ser>
          <c:idx val="14"/>
          <c:order val="0"/>
          <c:tx>
            <c:strRef>
              <c:f>Behovsmått!$B$21</c:f>
              <c:strCache>
                <c:ptCount val="1"/>
                <c:pt idx="0">
                  <c:v>Vårdtillfällen med vårdskador inom somatisk sluten vård</c:v>
                </c:pt>
              </c:strCache>
            </c:strRef>
          </c:tx>
          <c:spPr>
            <a:solidFill>
              <a:schemeClr val="accent3">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Behovsmått!$L$6</c:f>
              <c:strCache>
                <c:ptCount val="1"/>
                <c:pt idx="0">
                  <c:v>Vårdplats-potential (beräknat)</c:v>
                </c:pt>
              </c:strCache>
            </c:strRef>
          </c:cat>
          <c:val>
            <c:numRef>
              <c:f>Behovsmått!$L$21</c:f>
              <c:numCache>
                <c:formatCode>0</c:formatCode>
                <c:ptCount val="1"/>
                <c:pt idx="0">
                  <c:v>0</c:v>
                </c:pt>
              </c:numCache>
            </c:numRef>
          </c:val>
          <c:extLst>
            <c:ext xmlns:c16="http://schemas.microsoft.com/office/drawing/2014/chart" uri="{C3380CC4-5D6E-409C-BE32-E72D297353CC}">
              <c16:uniqueId val="{00000015-BC7B-44A8-A16F-3EE9681941B4}"/>
            </c:ext>
          </c:extLst>
        </c:ser>
        <c:ser>
          <c:idx val="12"/>
          <c:order val="1"/>
          <c:tx>
            <c:strRef>
              <c:f>Behovsmått!$B$19</c:f>
              <c:strCache>
                <c:ptCount val="1"/>
                <c:pt idx="0">
                  <c:v>Fallskador som leder till slutenvård för äldre </c:v>
                </c:pt>
              </c:strCache>
            </c:strRef>
          </c:tx>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Behovsmått!$L$6</c:f>
              <c:strCache>
                <c:ptCount val="1"/>
                <c:pt idx="0">
                  <c:v>Vårdplats-potential (beräknat)</c:v>
                </c:pt>
              </c:strCache>
            </c:strRef>
          </c:cat>
          <c:val>
            <c:numRef>
              <c:f>Behovsmått!$L$19</c:f>
              <c:numCache>
                <c:formatCode>0</c:formatCode>
                <c:ptCount val="1"/>
                <c:pt idx="0">
                  <c:v>8.7364753951832483</c:v>
                </c:pt>
              </c:numCache>
            </c:numRef>
          </c:val>
          <c:extLst>
            <c:ext xmlns:c16="http://schemas.microsoft.com/office/drawing/2014/chart" uri="{C3380CC4-5D6E-409C-BE32-E72D297353CC}">
              <c16:uniqueId val="{00000013-BC7B-44A8-A16F-3EE9681941B4}"/>
            </c:ext>
          </c:extLst>
        </c:ser>
        <c:ser>
          <c:idx val="10"/>
          <c:order val="2"/>
          <c:tx>
            <c:strRef>
              <c:f>Behovsmått!$B$17</c:f>
              <c:strCache>
                <c:ptCount val="1"/>
                <c:pt idx="0">
                  <c:v>Vårdtillfällen med påverkbar sluten vård för vissa kroniska sjukdomar 20 - 64 år</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Behovsmått!$L$6</c:f>
              <c:strCache>
                <c:ptCount val="1"/>
                <c:pt idx="0">
                  <c:v>Vårdplats-potential (beräknat)</c:v>
                </c:pt>
              </c:strCache>
            </c:strRef>
          </c:cat>
          <c:val>
            <c:numRef>
              <c:f>Behovsmått!$L$17</c:f>
              <c:numCache>
                <c:formatCode>0</c:formatCode>
                <c:ptCount val="1"/>
                <c:pt idx="0">
                  <c:v>0</c:v>
                </c:pt>
              </c:numCache>
            </c:numRef>
          </c:val>
          <c:extLst>
            <c:ext xmlns:c16="http://schemas.microsoft.com/office/drawing/2014/chart" uri="{C3380CC4-5D6E-409C-BE32-E72D297353CC}">
              <c16:uniqueId val="{00000011-BC7B-44A8-A16F-3EE9681941B4}"/>
            </c:ext>
          </c:extLst>
        </c:ser>
        <c:ser>
          <c:idx val="8"/>
          <c:order val="3"/>
          <c:tx>
            <c:strRef>
              <c:f>Behovsmått!$B$15</c:f>
              <c:strCache>
                <c:ptCount val="1"/>
                <c:pt idx="0">
                  <c:v>Vårdtillfällen med påverkbar sluten vård för vissa kroniska sjukdomar för patienter över 65 år </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Behovsmått!$L$6</c:f>
              <c:strCache>
                <c:ptCount val="1"/>
                <c:pt idx="0">
                  <c:v>Vårdplats-potential (beräknat)</c:v>
                </c:pt>
              </c:strCache>
            </c:strRef>
          </c:cat>
          <c:val>
            <c:numRef>
              <c:f>Behovsmått!$L$15</c:f>
              <c:numCache>
                <c:formatCode>0</c:formatCode>
                <c:ptCount val="1"/>
                <c:pt idx="0">
                  <c:v>2.6489312826203881</c:v>
                </c:pt>
              </c:numCache>
            </c:numRef>
          </c:val>
          <c:extLst>
            <c:ext xmlns:c16="http://schemas.microsoft.com/office/drawing/2014/chart" uri="{C3380CC4-5D6E-409C-BE32-E72D297353CC}">
              <c16:uniqueId val="{0000000F-BC7B-44A8-A16F-3EE9681941B4}"/>
            </c:ext>
          </c:extLst>
        </c:ser>
        <c:ser>
          <c:idx val="6"/>
          <c:order val="4"/>
          <c:tx>
            <c:strRef>
              <c:f>Behovsmått!$B$13</c:f>
              <c:strCache>
                <c:ptCount val="1"/>
                <c:pt idx="0">
                  <c:v>Vårdtillfällen med påverkbar sluten vård för patienter över 65 år</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Behovsmått!$L$6</c:f>
              <c:strCache>
                <c:ptCount val="1"/>
                <c:pt idx="0">
                  <c:v>Vårdplats-potential (beräknat)</c:v>
                </c:pt>
              </c:strCache>
            </c:strRef>
          </c:cat>
          <c:val>
            <c:numRef>
              <c:f>Behovsmått!$L$13</c:f>
              <c:numCache>
                <c:formatCode>0</c:formatCode>
                <c:ptCount val="1"/>
                <c:pt idx="0">
                  <c:v>3.3857199864668854</c:v>
                </c:pt>
              </c:numCache>
            </c:numRef>
          </c:val>
          <c:extLst>
            <c:ext xmlns:c16="http://schemas.microsoft.com/office/drawing/2014/chart" uri="{C3380CC4-5D6E-409C-BE32-E72D297353CC}">
              <c16:uniqueId val="{0000000D-BC7B-44A8-A16F-3EE9681941B4}"/>
            </c:ext>
          </c:extLst>
        </c:ser>
        <c:ser>
          <c:idx val="4"/>
          <c:order val="5"/>
          <c:tx>
            <c:strRef>
              <c:f>Behovsmått!$B$11</c:f>
              <c:strCache>
                <c:ptCount val="1"/>
                <c:pt idx="0">
                  <c:v>Andel vårdplatser belagda av utskrivningsklara patienter</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Behovsmått!$L$6</c:f>
              <c:strCache>
                <c:ptCount val="1"/>
                <c:pt idx="0">
                  <c:v>Vårdplats-potential (beräknat)</c:v>
                </c:pt>
              </c:strCache>
            </c:strRef>
          </c:cat>
          <c:val>
            <c:numRef>
              <c:f>Behovsmått!$L$11</c:f>
              <c:numCache>
                <c:formatCode>0</c:formatCode>
                <c:ptCount val="1"/>
                <c:pt idx="0">
                  <c:v>6.0311317963911737</c:v>
                </c:pt>
              </c:numCache>
            </c:numRef>
          </c:val>
          <c:extLst>
            <c:ext xmlns:c16="http://schemas.microsoft.com/office/drawing/2014/chart" uri="{C3380CC4-5D6E-409C-BE32-E72D297353CC}">
              <c16:uniqueId val="{0000000B-BC7B-44A8-A16F-3EE9681941B4}"/>
            </c:ext>
          </c:extLst>
        </c:ser>
        <c:ser>
          <c:idx val="2"/>
          <c:order val="6"/>
          <c:tx>
            <c:strRef>
              <c:f>Behovsmått!$B$9</c:f>
              <c:strCache>
                <c:ptCount val="1"/>
                <c:pt idx="0">
                  <c:v>Oplanerade återinskrivningar (20 - 64 år)</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Behovsmått!$L$6</c:f>
              <c:strCache>
                <c:ptCount val="1"/>
                <c:pt idx="0">
                  <c:v>Vårdplats-potential (beräknat)</c:v>
                </c:pt>
              </c:strCache>
            </c:strRef>
          </c:cat>
          <c:val>
            <c:numRef>
              <c:f>Behovsmått!$L$9</c:f>
              <c:numCache>
                <c:formatCode>0</c:formatCode>
                <c:ptCount val="1"/>
                <c:pt idx="0">
                  <c:v>2.2594798757734078</c:v>
                </c:pt>
              </c:numCache>
            </c:numRef>
          </c:val>
          <c:extLst>
            <c:ext xmlns:c16="http://schemas.microsoft.com/office/drawing/2014/chart" uri="{C3380CC4-5D6E-409C-BE32-E72D297353CC}">
              <c16:uniqueId val="{00000009-BC7B-44A8-A16F-3EE9681941B4}"/>
            </c:ext>
          </c:extLst>
        </c:ser>
        <c:ser>
          <c:idx val="0"/>
          <c:order val="7"/>
          <c:tx>
            <c:strRef>
              <c:f>Behovsmått!$B$7</c:f>
              <c:strCache>
                <c:ptCount val="1"/>
                <c:pt idx="0">
                  <c:v>Oplanerade återinskrivningar (över 65 år)</c:v>
                </c:pt>
              </c:strCache>
            </c:strRef>
          </c:tx>
          <c:spPr>
            <a:solidFill>
              <a:srgbClr val="017CC1"/>
            </a:solidFill>
            <a:ln w="3810">
              <a:solidFill>
                <a:srgbClr val="017CC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Behovsmått!$L$6</c:f>
              <c:strCache>
                <c:ptCount val="1"/>
                <c:pt idx="0">
                  <c:v>Vårdplats-potential (beräknat)</c:v>
                </c:pt>
              </c:strCache>
            </c:strRef>
          </c:cat>
          <c:val>
            <c:numRef>
              <c:f>Behovsmått!$L$7</c:f>
              <c:numCache>
                <c:formatCode>0</c:formatCode>
                <c:ptCount val="1"/>
                <c:pt idx="0">
                  <c:v>5.4487522336323737</c:v>
                </c:pt>
              </c:numCache>
            </c:numRef>
          </c:val>
          <c:extLst>
            <c:ext xmlns:c16="http://schemas.microsoft.com/office/drawing/2014/chart" uri="{C3380CC4-5D6E-409C-BE32-E72D297353CC}">
              <c16:uniqueId val="{00000000-49A1-4AF1-A67D-22D8086EA713}"/>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b"/>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l"/>
        <c:majorGridlines>
          <c:spPr>
            <a:ln w="9525"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Antal disponibla vårdplatser</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r"/>
      <c:layout>
        <c:manualLayout>
          <c:xMode val="edge"/>
          <c:yMode val="edge"/>
          <c:x val="0.66449238957649592"/>
          <c:y val="3.7624722587769222E-2"/>
          <c:w val="0.33136826720144208"/>
          <c:h val="0.91334215746996705"/>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9525</xdr:colOff>
      <xdr:row>7</xdr:row>
      <xdr:rowOff>34925</xdr:rowOff>
    </xdr:from>
    <xdr:to>
      <xdr:col>9</xdr:col>
      <xdr:colOff>596901</xdr:colOff>
      <xdr:row>30</xdr:row>
      <xdr:rowOff>33338</xdr:rowOff>
    </xdr:to>
    <xdr:graphicFrame macro="">
      <xdr:nvGraphicFramePr>
        <xdr:cNvPr id="2" name="Excel Word-Staplat stapeldiagram">
          <a:extLst>
            <a:ext uri="{FF2B5EF4-FFF2-40B4-BE49-F238E27FC236}">
              <a16:creationId xmlns:a16="http://schemas.microsoft.com/office/drawing/2014/main" id="{8F08552F-BEB3-49C1-A75F-3B3FE98FE7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xdr:colOff>
      <xdr:row>7</xdr:row>
      <xdr:rowOff>9525</xdr:rowOff>
    </xdr:from>
    <xdr:to>
      <xdr:col>18</xdr:col>
      <xdr:colOff>600075</xdr:colOff>
      <xdr:row>30</xdr:row>
      <xdr:rowOff>19050</xdr:rowOff>
    </xdr:to>
    <xdr:graphicFrame macro="">
      <xdr:nvGraphicFramePr>
        <xdr:cNvPr id="3" name="Excel Word-Staplat stapeldiagram">
          <a:extLst>
            <a:ext uri="{FF2B5EF4-FFF2-40B4-BE49-F238E27FC236}">
              <a16:creationId xmlns:a16="http://schemas.microsoft.com/office/drawing/2014/main" id="{8BC7A0F3-2085-091C-CEBF-CEAC05B9E5B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123826</xdr:colOff>
      <xdr:row>10</xdr:row>
      <xdr:rowOff>90487</xdr:rowOff>
    </xdr:from>
    <xdr:to>
      <xdr:col>12</xdr:col>
      <xdr:colOff>95250</xdr:colOff>
      <xdr:row>30</xdr:row>
      <xdr:rowOff>16187</xdr:rowOff>
    </xdr:to>
    <xdr:graphicFrame macro="">
      <xdr:nvGraphicFramePr>
        <xdr:cNvPr id="2" name="Excel Word-Staplat stapeldiagram">
          <a:extLst>
            <a:ext uri="{FF2B5EF4-FFF2-40B4-BE49-F238E27FC236}">
              <a16:creationId xmlns:a16="http://schemas.microsoft.com/office/drawing/2014/main" id="{393F54B5-01A5-C2B5-C1BE-58C3A393E20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47626</xdr:colOff>
      <xdr:row>22</xdr:row>
      <xdr:rowOff>80962</xdr:rowOff>
    </xdr:from>
    <xdr:to>
      <xdr:col>12</xdr:col>
      <xdr:colOff>57150</xdr:colOff>
      <xdr:row>53</xdr:row>
      <xdr:rowOff>104775</xdr:rowOff>
    </xdr:to>
    <xdr:graphicFrame macro="">
      <xdr:nvGraphicFramePr>
        <xdr:cNvPr id="4" name="Excel Word-Staplat stapeldiagram">
          <a:extLst>
            <a:ext uri="{FF2B5EF4-FFF2-40B4-BE49-F238E27FC236}">
              <a16:creationId xmlns:a16="http://schemas.microsoft.com/office/drawing/2014/main" id="{0A220187-4ECA-8CE2-6292-6F3B22190B6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1351492</xdr:colOff>
      <xdr:row>6</xdr:row>
      <xdr:rowOff>169333</xdr:rowOff>
    </xdr:from>
    <xdr:to>
      <xdr:col>7</xdr:col>
      <xdr:colOff>1354667</xdr:colOff>
      <xdr:row>9</xdr:row>
      <xdr:rowOff>67733</xdr:rowOff>
    </xdr:to>
    <xdr:cxnSp macro="">
      <xdr:nvCxnSpPr>
        <xdr:cNvPr id="2" name="Straight Connector 29">
          <a:extLst>
            <a:ext uri="{FF2B5EF4-FFF2-40B4-BE49-F238E27FC236}">
              <a16:creationId xmlns:a16="http://schemas.microsoft.com/office/drawing/2014/main" id="{FEC54707-AC3A-4EE6-8F45-E54999A9CAC2}"/>
            </a:ext>
          </a:extLst>
        </xdr:cNvPr>
        <xdr:cNvCxnSpPr>
          <a:cxnSpLocks/>
        </xdr:cNvCxnSpPr>
      </xdr:nvCxnSpPr>
      <xdr:spPr>
        <a:xfrm flipV="1">
          <a:off x="10657417" y="1674283"/>
          <a:ext cx="3175" cy="431800"/>
        </a:xfrm>
        <a:prstGeom prst="line">
          <a:avLst/>
        </a:prstGeom>
        <a:ln w="76200">
          <a:solidFill>
            <a:srgbClr val="002744"/>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1354666</xdr:colOff>
      <xdr:row>5</xdr:row>
      <xdr:rowOff>39158</xdr:rowOff>
    </xdr:from>
    <xdr:to>
      <xdr:col>7</xdr:col>
      <xdr:colOff>1354669</xdr:colOff>
      <xdr:row>6</xdr:row>
      <xdr:rowOff>10584</xdr:rowOff>
    </xdr:to>
    <xdr:cxnSp macro="">
      <xdr:nvCxnSpPr>
        <xdr:cNvPr id="3" name="Straight Connector 29">
          <a:extLst>
            <a:ext uri="{FF2B5EF4-FFF2-40B4-BE49-F238E27FC236}">
              <a16:creationId xmlns:a16="http://schemas.microsoft.com/office/drawing/2014/main" id="{4AF5FAC9-B5FF-479D-8726-E096CDAD8E31}"/>
            </a:ext>
          </a:extLst>
        </xdr:cNvPr>
        <xdr:cNvCxnSpPr>
          <a:cxnSpLocks/>
        </xdr:cNvCxnSpPr>
      </xdr:nvCxnSpPr>
      <xdr:spPr>
        <a:xfrm flipV="1">
          <a:off x="10660591" y="1372658"/>
          <a:ext cx="3" cy="142876"/>
        </a:xfrm>
        <a:prstGeom prst="line">
          <a:avLst/>
        </a:prstGeom>
        <a:ln w="76200">
          <a:solidFill>
            <a:srgbClr val="002744"/>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1176867</xdr:colOff>
      <xdr:row>8</xdr:row>
      <xdr:rowOff>161933</xdr:rowOff>
    </xdr:from>
    <xdr:to>
      <xdr:col>5</xdr:col>
      <xdr:colOff>648384</xdr:colOff>
      <xdr:row>12</xdr:row>
      <xdr:rowOff>74083</xdr:rowOff>
    </xdr:to>
    <xdr:sp macro="" textlink="">
      <xdr:nvSpPr>
        <xdr:cNvPr id="4" name="Isosceles Triangle 5">
          <a:extLst>
            <a:ext uri="{FF2B5EF4-FFF2-40B4-BE49-F238E27FC236}">
              <a16:creationId xmlns:a16="http://schemas.microsoft.com/office/drawing/2014/main" id="{BA3F4C5C-CA6A-4400-A9AE-587C01B952DF}"/>
            </a:ext>
          </a:extLst>
        </xdr:cNvPr>
        <xdr:cNvSpPr/>
      </xdr:nvSpPr>
      <xdr:spPr>
        <a:xfrm>
          <a:off x="7034742" y="2028833"/>
          <a:ext cx="1052667" cy="731300"/>
        </a:xfrm>
        <a:prstGeom prst="triangle">
          <a:avLst/>
        </a:prstGeom>
        <a:solidFill>
          <a:sysClr val="window" lastClr="FFFFFF"/>
        </a:solidFill>
        <a:ln w="76200">
          <a:solidFill>
            <a:srgbClr val="002744"/>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sv-S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sv-SE" sz="1900">
            <a:solidFill>
              <a:schemeClr val="tx1"/>
            </a:solidFill>
          </a:endParaRPr>
        </a:p>
      </xdr:txBody>
    </xdr:sp>
    <xdr:clientData/>
  </xdr:twoCellAnchor>
  <xdr:twoCellAnchor>
    <xdr:from>
      <xdr:col>3</xdr:col>
      <xdr:colOff>497417</xdr:colOff>
      <xdr:row>5</xdr:row>
      <xdr:rowOff>66677</xdr:rowOff>
    </xdr:from>
    <xdr:to>
      <xdr:col>3</xdr:col>
      <xdr:colOff>2352675</xdr:colOff>
      <xdr:row>5</xdr:row>
      <xdr:rowOff>66678</xdr:rowOff>
    </xdr:to>
    <xdr:cxnSp macro="">
      <xdr:nvCxnSpPr>
        <xdr:cNvPr id="26" name="Straight Connector 31">
          <a:extLst>
            <a:ext uri="{FF2B5EF4-FFF2-40B4-BE49-F238E27FC236}">
              <a16:creationId xmlns:a16="http://schemas.microsoft.com/office/drawing/2014/main" id="{13D76B5C-5FC0-44D3-82E6-925A71C0F42C}"/>
            </a:ext>
          </a:extLst>
        </xdr:cNvPr>
        <xdr:cNvCxnSpPr>
          <a:cxnSpLocks/>
        </xdr:cNvCxnSpPr>
      </xdr:nvCxnSpPr>
      <xdr:spPr>
        <a:xfrm flipV="1">
          <a:off x="3716867" y="1400177"/>
          <a:ext cx="1855258" cy="1"/>
        </a:xfrm>
        <a:prstGeom prst="line">
          <a:avLst/>
        </a:prstGeom>
        <a:ln w="76200">
          <a:solidFill>
            <a:srgbClr val="002744"/>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1439334</xdr:colOff>
      <xdr:row>7</xdr:row>
      <xdr:rowOff>10584</xdr:rowOff>
    </xdr:from>
    <xdr:to>
      <xdr:col>3</xdr:col>
      <xdr:colOff>1447800</xdr:colOff>
      <xdr:row>9</xdr:row>
      <xdr:rowOff>123825</xdr:rowOff>
    </xdr:to>
    <xdr:cxnSp macro="">
      <xdr:nvCxnSpPr>
        <xdr:cNvPr id="27" name="Straight Connector 29">
          <a:extLst>
            <a:ext uri="{FF2B5EF4-FFF2-40B4-BE49-F238E27FC236}">
              <a16:creationId xmlns:a16="http://schemas.microsoft.com/office/drawing/2014/main" id="{ABB960EE-A7B1-4068-965B-FDDC292F5BD1}"/>
            </a:ext>
          </a:extLst>
        </xdr:cNvPr>
        <xdr:cNvCxnSpPr>
          <a:cxnSpLocks/>
        </xdr:cNvCxnSpPr>
      </xdr:nvCxnSpPr>
      <xdr:spPr>
        <a:xfrm flipH="1" flipV="1">
          <a:off x="4658784" y="1696509"/>
          <a:ext cx="8466" cy="465666"/>
        </a:xfrm>
        <a:prstGeom prst="line">
          <a:avLst/>
        </a:prstGeom>
        <a:ln w="76200">
          <a:solidFill>
            <a:srgbClr val="002744"/>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1407583</xdr:colOff>
      <xdr:row>9</xdr:row>
      <xdr:rowOff>94192</xdr:rowOff>
    </xdr:from>
    <xdr:to>
      <xdr:col>7</xdr:col>
      <xdr:colOff>1394013</xdr:colOff>
      <xdr:row>9</xdr:row>
      <xdr:rowOff>96014</xdr:rowOff>
    </xdr:to>
    <xdr:cxnSp macro="">
      <xdr:nvCxnSpPr>
        <xdr:cNvPr id="28" name="Straight Connector 6">
          <a:extLst>
            <a:ext uri="{FF2B5EF4-FFF2-40B4-BE49-F238E27FC236}">
              <a16:creationId xmlns:a16="http://schemas.microsoft.com/office/drawing/2014/main" id="{A8989C83-AEEB-413C-AA88-08E2E37E00CB}"/>
            </a:ext>
          </a:extLst>
        </xdr:cNvPr>
        <xdr:cNvCxnSpPr>
          <a:cxnSpLocks/>
        </xdr:cNvCxnSpPr>
      </xdr:nvCxnSpPr>
      <xdr:spPr>
        <a:xfrm>
          <a:off x="4629518" y="1800409"/>
          <a:ext cx="6074147" cy="1822"/>
        </a:xfrm>
        <a:prstGeom prst="line">
          <a:avLst/>
        </a:prstGeom>
        <a:noFill/>
        <a:ln w="76200" cap="flat" cmpd="sng" algn="ctr">
          <a:solidFill>
            <a:srgbClr val="00385C"/>
          </a:solidFill>
          <a:prstDash val="solid"/>
          <a:miter lim="800000"/>
        </a:ln>
        <a:effectLst/>
      </xdr:spPr>
    </xdr:cxnSp>
    <xdr:clientData/>
  </xdr:twoCellAnchor>
  <xdr:twoCellAnchor>
    <xdr:from>
      <xdr:col>7</xdr:col>
      <xdr:colOff>503613</xdr:colOff>
      <xdr:row>5</xdr:row>
      <xdr:rowOff>8770</xdr:rowOff>
    </xdr:from>
    <xdr:to>
      <xdr:col>8</xdr:col>
      <xdr:colOff>145896</xdr:colOff>
      <xdr:row>5</xdr:row>
      <xdr:rowOff>8771</xdr:rowOff>
    </xdr:to>
    <xdr:cxnSp macro="">
      <xdr:nvCxnSpPr>
        <xdr:cNvPr id="29" name="Straight Connector 31">
          <a:extLst>
            <a:ext uri="{FF2B5EF4-FFF2-40B4-BE49-F238E27FC236}">
              <a16:creationId xmlns:a16="http://schemas.microsoft.com/office/drawing/2014/main" id="{F5577BE7-2297-4A4D-ACD6-8CED4BDFE776}"/>
            </a:ext>
          </a:extLst>
        </xdr:cNvPr>
        <xdr:cNvCxnSpPr>
          <a:cxnSpLocks/>
        </xdr:cNvCxnSpPr>
      </xdr:nvCxnSpPr>
      <xdr:spPr>
        <a:xfrm flipV="1">
          <a:off x="9816342" y="1075570"/>
          <a:ext cx="1645254" cy="1"/>
        </a:xfrm>
        <a:prstGeom prst="line">
          <a:avLst/>
        </a:prstGeom>
        <a:ln w="76200">
          <a:solidFill>
            <a:srgbClr val="002744"/>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1569510</xdr:colOff>
      <xdr:row>8</xdr:row>
      <xdr:rowOff>9070</xdr:rowOff>
    </xdr:from>
    <xdr:to>
      <xdr:col>5</xdr:col>
      <xdr:colOff>286808</xdr:colOff>
      <xdr:row>10</xdr:row>
      <xdr:rowOff>7937</xdr:rowOff>
    </xdr:to>
    <xdr:sp macro="" textlink="">
      <xdr:nvSpPr>
        <xdr:cNvPr id="33" name="Oval 28">
          <a:extLst>
            <a:ext uri="{FF2B5EF4-FFF2-40B4-BE49-F238E27FC236}">
              <a16:creationId xmlns:a16="http://schemas.microsoft.com/office/drawing/2014/main" id="{2DAC5151-89DD-4736-9B95-4A966ED5292C}"/>
            </a:ext>
          </a:extLst>
        </xdr:cNvPr>
        <xdr:cNvSpPr/>
      </xdr:nvSpPr>
      <xdr:spPr>
        <a:xfrm>
          <a:off x="7427385" y="1875970"/>
          <a:ext cx="298448" cy="341767"/>
        </a:xfrm>
        <a:prstGeom prst="ellipse">
          <a:avLst/>
        </a:prstGeom>
        <a:solidFill>
          <a:srgbClr val="FFFFFF"/>
        </a:solidFill>
        <a:ln w="76200">
          <a:solidFill>
            <a:srgbClr val="002744"/>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sv-S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sv-SE" sz="1900">
            <a:solidFill>
              <a:schemeClr val="tx1"/>
            </a:solidFill>
          </a:endParaRPr>
        </a:p>
      </xdr:txBody>
    </xdr:sp>
    <xdr:clientData/>
  </xdr:twoCellAnchor>
  <xdr:twoCellAnchor>
    <xdr:from>
      <xdr:col>7</xdr:col>
      <xdr:colOff>431797</xdr:colOff>
      <xdr:row>0</xdr:row>
      <xdr:rowOff>352425</xdr:rowOff>
    </xdr:from>
    <xdr:to>
      <xdr:col>8</xdr:col>
      <xdr:colOff>238124</xdr:colOff>
      <xdr:row>1</xdr:row>
      <xdr:rowOff>172509</xdr:rowOff>
    </xdr:to>
    <xdr:sp macro="" textlink="">
      <xdr:nvSpPr>
        <xdr:cNvPr id="34" name="Arrow: Pentagon 41">
          <a:extLst>
            <a:ext uri="{FF2B5EF4-FFF2-40B4-BE49-F238E27FC236}">
              <a16:creationId xmlns:a16="http://schemas.microsoft.com/office/drawing/2014/main" id="{1B6A254D-87FD-43C5-B732-5D05CA868FEC}"/>
            </a:ext>
          </a:extLst>
        </xdr:cNvPr>
        <xdr:cNvSpPr/>
      </xdr:nvSpPr>
      <xdr:spPr>
        <a:xfrm rot="5400000">
          <a:off x="10470991" y="-385887"/>
          <a:ext cx="335555" cy="1812180"/>
        </a:xfrm>
        <a:prstGeom prst="homePlate">
          <a:avLst>
            <a:gd name="adj" fmla="val 15213"/>
          </a:avLst>
        </a:prstGeom>
        <a:solidFill>
          <a:srgbClr val="00274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sv-S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sv-SE" sz="1900">
            <a:solidFill>
              <a:schemeClr val="tx1"/>
            </a:solidFill>
          </a:endParaRPr>
        </a:p>
      </xdr:txBody>
    </xdr:sp>
    <xdr:clientData/>
  </xdr:twoCellAnchor>
  <xdr:twoCellAnchor>
    <xdr:from>
      <xdr:col>7</xdr:col>
      <xdr:colOff>444500</xdr:colOff>
      <xdr:row>0</xdr:row>
      <xdr:rowOff>402166</xdr:rowOff>
    </xdr:from>
    <xdr:to>
      <xdr:col>7</xdr:col>
      <xdr:colOff>1322279</xdr:colOff>
      <xdr:row>1</xdr:row>
      <xdr:rowOff>30709</xdr:rowOff>
    </xdr:to>
    <xdr:sp macro="" textlink="">
      <xdr:nvSpPr>
        <xdr:cNvPr id="35" name="TextBox 42">
          <a:extLst>
            <a:ext uri="{FF2B5EF4-FFF2-40B4-BE49-F238E27FC236}">
              <a16:creationId xmlns:a16="http://schemas.microsoft.com/office/drawing/2014/main" id="{2C77DE19-7D52-4A7E-B81F-BD5F5D12463B}"/>
            </a:ext>
          </a:extLst>
        </xdr:cNvPr>
        <xdr:cNvSpPr txBox="1"/>
      </xdr:nvSpPr>
      <xdr:spPr>
        <a:xfrm>
          <a:off x="9750425" y="402166"/>
          <a:ext cx="877779" cy="142893"/>
        </a:xfrm>
        <a:prstGeom prst="rect">
          <a:avLst/>
        </a:prstGeom>
        <a:noFill/>
      </xdr:spPr>
      <xdr:txBody>
        <a:bodyPr wrap="square" lIns="0" tIns="0" rIns="0" bIns="0" rtlCol="0">
          <a:spAutoFit/>
        </a:bodyPr>
        <a:lstStyle>
          <a:defPPr>
            <a:defRPr lang="sv-S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sz="900" b="1">
              <a:solidFill>
                <a:srgbClr val="FFFFFF"/>
              </a:solidFill>
            </a:rPr>
            <a:t>Kompetens</a:t>
          </a:r>
        </a:p>
      </xdr:txBody>
    </xdr:sp>
    <xdr:clientData/>
  </xdr:twoCellAnchor>
  <xdr:twoCellAnchor>
    <xdr:from>
      <xdr:col>7</xdr:col>
      <xdr:colOff>1125010</xdr:colOff>
      <xdr:row>0</xdr:row>
      <xdr:rowOff>403753</xdr:rowOff>
    </xdr:from>
    <xdr:to>
      <xdr:col>7</xdr:col>
      <xdr:colOff>1761068</xdr:colOff>
      <xdr:row>1</xdr:row>
      <xdr:rowOff>29121</xdr:rowOff>
    </xdr:to>
    <xdr:sp macro="" textlink="">
      <xdr:nvSpPr>
        <xdr:cNvPr id="36" name="TextBox 43">
          <a:extLst>
            <a:ext uri="{FF2B5EF4-FFF2-40B4-BE49-F238E27FC236}">
              <a16:creationId xmlns:a16="http://schemas.microsoft.com/office/drawing/2014/main" id="{7F543498-29AA-4EBE-8499-9D765D2D45FB}"/>
            </a:ext>
          </a:extLst>
        </xdr:cNvPr>
        <xdr:cNvSpPr txBox="1"/>
      </xdr:nvSpPr>
      <xdr:spPr>
        <a:xfrm>
          <a:off x="10425892" y="403753"/>
          <a:ext cx="636058" cy="140839"/>
        </a:xfrm>
        <a:prstGeom prst="rect">
          <a:avLst/>
        </a:prstGeom>
        <a:noFill/>
      </xdr:spPr>
      <xdr:txBody>
        <a:bodyPr wrap="square" lIns="0" tIns="0" rIns="0" bIns="0" rtlCol="0">
          <a:spAutoFit/>
        </a:bodyPr>
        <a:lstStyle>
          <a:defPPr>
            <a:defRPr lang="sv-S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sz="900" b="1" kern="1200">
              <a:solidFill>
                <a:srgbClr val="FFFFFF"/>
              </a:solidFill>
              <a:latin typeface="+mn-lt"/>
              <a:ea typeface="+mn-ea"/>
              <a:cs typeface="+mn-cs"/>
            </a:rPr>
            <a:t>Utrustning</a:t>
          </a:r>
        </a:p>
      </xdr:txBody>
    </xdr:sp>
    <xdr:clientData/>
  </xdr:twoCellAnchor>
  <xdr:twoCellAnchor>
    <xdr:from>
      <xdr:col>7</xdr:col>
      <xdr:colOff>1820334</xdr:colOff>
      <xdr:row>0</xdr:row>
      <xdr:rowOff>402166</xdr:rowOff>
    </xdr:from>
    <xdr:to>
      <xdr:col>8</xdr:col>
      <xdr:colOff>255210</xdr:colOff>
      <xdr:row>1</xdr:row>
      <xdr:rowOff>30709</xdr:rowOff>
    </xdr:to>
    <xdr:sp macro="" textlink="">
      <xdr:nvSpPr>
        <xdr:cNvPr id="37" name="TextBox 45">
          <a:extLst>
            <a:ext uri="{FF2B5EF4-FFF2-40B4-BE49-F238E27FC236}">
              <a16:creationId xmlns:a16="http://schemas.microsoft.com/office/drawing/2014/main" id="{38558A79-E280-4486-B2AA-04981D2804EA}"/>
            </a:ext>
          </a:extLst>
        </xdr:cNvPr>
        <xdr:cNvSpPr txBox="1"/>
      </xdr:nvSpPr>
      <xdr:spPr>
        <a:xfrm>
          <a:off x="11126259" y="402166"/>
          <a:ext cx="435126" cy="142893"/>
        </a:xfrm>
        <a:prstGeom prst="rect">
          <a:avLst/>
        </a:prstGeom>
        <a:noFill/>
      </xdr:spPr>
      <xdr:txBody>
        <a:bodyPr wrap="square" lIns="0" tIns="0" rIns="0" bIns="0" rtlCol="0">
          <a:spAutoFit/>
        </a:bodyPr>
        <a:lstStyle>
          <a:defPPr>
            <a:defRPr lang="sv-S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sz="900" b="1" kern="1200">
              <a:solidFill>
                <a:srgbClr val="FFFFFF"/>
              </a:solidFill>
              <a:latin typeface="+mn-lt"/>
              <a:ea typeface="+mn-ea"/>
              <a:cs typeface="+mn-cs"/>
            </a:rPr>
            <a:t>Lokaler</a:t>
          </a:r>
          <a:endParaRPr lang="sv-SE" sz="900" b="1" kern="1200">
            <a:solidFill>
              <a:srgbClr val="FFFFFF"/>
            </a:solidFill>
            <a:latin typeface="+mn-lt"/>
            <a:ea typeface="+mn-ea"/>
            <a:cs typeface="+mn-cs"/>
          </a:endParaRPr>
        </a:p>
      </xdr:txBody>
    </xdr:sp>
    <xdr:clientData/>
  </xdr:twoCellAnchor>
  <xdr:twoCellAnchor>
    <xdr:from>
      <xdr:col>3</xdr:col>
      <xdr:colOff>1438275</xdr:colOff>
      <xdr:row>5</xdr:row>
      <xdr:rowOff>34927</xdr:rowOff>
    </xdr:from>
    <xdr:to>
      <xdr:col>3</xdr:col>
      <xdr:colOff>1439334</xdr:colOff>
      <xdr:row>6</xdr:row>
      <xdr:rowOff>0</xdr:rowOff>
    </xdr:to>
    <xdr:cxnSp macro="">
      <xdr:nvCxnSpPr>
        <xdr:cNvPr id="38" name="Straight Connector 29">
          <a:extLst>
            <a:ext uri="{FF2B5EF4-FFF2-40B4-BE49-F238E27FC236}">
              <a16:creationId xmlns:a16="http://schemas.microsoft.com/office/drawing/2014/main" id="{72576956-C684-4341-9726-82A0D30C30A7}"/>
            </a:ext>
          </a:extLst>
        </xdr:cNvPr>
        <xdr:cNvCxnSpPr>
          <a:cxnSpLocks/>
        </xdr:cNvCxnSpPr>
      </xdr:nvCxnSpPr>
      <xdr:spPr>
        <a:xfrm flipV="1">
          <a:off x="4657725" y="1368427"/>
          <a:ext cx="1059" cy="136523"/>
        </a:xfrm>
        <a:prstGeom prst="line">
          <a:avLst/>
        </a:prstGeom>
        <a:ln w="76200">
          <a:solidFill>
            <a:srgbClr val="002744"/>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695325</xdr:colOff>
      <xdr:row>0</xdr:row>
      <xdr:rowOff>95250</xdr:rowOff>
    </xdr:from>
    <xdr:to>
      <xdr:col>3</xdr:col>
      <xdr:colOff>2124075</xdr:colOff>
      <xdr:row>4</xdr:row>
      <xdr:rowOff>133350</xdr:rowOff>
    </xdr:to>
    <xdr:grpSp>
      <xdr:nvGrpSpPr>
        <xdr:cNvPr id="81" name="Group 60">
          <a:extLst>
            <a:ext uri="{FF2B5EF4-FFF2-40B4-BE49-F238E27FC236}">
              <a16:creationId xmlns:a16="http://schemas.microsoft.com/office/drawing/2014/main" id="{635CF50B-1A07-4C95-8312-54E4E123A2E0}"/>
            </a:ext>
          </a:extLst>
        </xdr:cNvPr>
        <xdr:cNvGrpSpPr/>
      </xdr:nvGrpSpPr>
      <xdr:grpSpPr>
        <a:xfrm>
          <a:off x="4067175" y="0"/>
          <a:ext cx="1428750" cy="0"/>
          <a:chOff x="1038808" y="3487167"/>
          <a:chExt cx="1897868" cy="1364737"/>
        </a:xfrm>
      </xdr:grpSpPr>
      <xdr:grpSp>
        <xdr:nvGrpSpPr>
          <xdr:cNvPr id="82" name="Group 61">
            <a:extLst>
              <a:ext uri="{FF2B5EF4-FFF2-40B4-BE49-F238E27FC236}">
                <a16:creationId xmlns:a16="http://schemas.microsoft.com/office/drawing/2014/main" id="{EB49A37C-FA47-7739-58F2-5070ACE73730}"/>
              </a:ext>
            </a:extLst>
          </xdr:cNvPr>
          <xdr:cNvGrpSpPr/>
        </xdr:nvGrpSpPr>
        <xdr:grpSpPr>
          <a:xfrm>
            <a:off x="1038808" y="3582505"/>
            <a:ext cx="604754" cy="1269399"/>
            <a:chOff x="1038808" y="3582505"/>
            <a:chExt cx="604754" cy="1269399"/>
          </a:xfrm>
        </xdr:grpSpPr>
        <xdr:sp macro="" textlink="">
          <xdr:nvSpPr>
            <xdr:cNvPr id="100" name="Freeform: Shape 79">
              <a:extLst>
                <a:ext uri="{FF2B5EF4-FFF2-40B4-BE49-F238E27FC236}">
                  <a16:creationId xmlns:a16="http://schemas.microsoft.com/office/drawing/2014/main" id="{43C8FBDF-B788-21F3-BC1B-EDD5B3442396}"/>
                </a:ext>
              </a:extLst>
            </xdr:cNvPr>
            <xdr:cNvSpPr/>
          </xdr:nvSpPr>
          <xdr:spPr>
            <a:xfrm>
              <a:off x="1038808" y="3912485"/>
              <a:ext cx="604754" cy="939419"/>
            </a:xfrm>
            <a:custGeom>
              <a:avLst/>
              <a:gdLst>
                <a:gd name="connsiteX0" fmla="*/ 424695 w 438015"/>
                <a:gd name="connsiteY0" fmla="*/ 80137 h 983989"/>
                <a:gd name="connsiteX1" fmla="*/ 344559 w 438015"/>
                <a:gd name="connsiteY1" fmla="*/ 0 h 983989"/>
                <a:gd name="connsiteX2" fmla="*/ 94852 w 438015"/>
                <a:gd name="connsiteY2" fmla="*/ 0 h 983989"/>
                <a:gd name="connsiteX3" fmla="*/ 14716 w 438015"/>
                <a:gd name="connsiteY3" fmla="*/ 74767 h 983989"/>
                <a:gd name="connsiteX4" fmla="*/ 13373 w 438015"/>
                <a:gd name="connsiteY4" fmla="*/ 84112 h 983989"/>
                <a:gd name="connsiteX5" fmla="*/ 0 w 438015"/>
                <a:gd name="connsiteY5" fmla="*/ 444620 h 983989"/>
                <a:gd name="connsiteX6" fmla="*/ 42702 w 438015"/>
                <a:gd name="connsiteY6" fmla="*/ 487323 h 983989"/>
                <a:gd name="connsiteX7" fmla="*/ 85403 w 438015"/>
                <a:gd name="connsiteY7" fmla="*/ 444620 h 983989"/>
                <a:gd name="connsiteX8" fmla="*/ 98776 w 438015"/>
                <a:gd name="connsiteY8" fmla="*/ 160211 h 983989"/>
                <a:gd name="connsiteX9" fmla="*/ 100119 w 438015"/>
                <a:gd name="connsiteY9" fmla="*/ 160211 h 983989"/>
                <a:gd name="connsiteX10" fmla="*/ 100119 w 438015"/>
                <a:gd name="connsiteY10" fmla="*/ 930599 h 983989"/>
                <a:gd name="connsiteX11" fmla="*/ 153510 w 438015"/>
                <a:gd name="connsiteY11" fmla="*/ 983990 h 983989"/>
                <a:gd name="connsiteX12" fmla="*/ 206900 w 438015"/>
                <a:gd name="connsiteY12" fmla="*/ 930599 h 983989"/>
                <a:gd name="connsiteX13" fmla="*/ 213560 w 438015"/>
                <a:gd name="connsiteY13" fmla="*/ 512669 h 983989"/>
                <a:gd name="connsiteX14" fmla="*/ 225592 w 438015"/>
                <a:gd name="connsiteY14" fmla="*/ 512669 h 983989"/>
                <a:gd name="connsiteX15" fmla="*/ 232252 w 438015"/>
                <a:gd name="connsiteY15" fmla="*/ 930599 h 983989"/>
                <a:gd name="connsiteX16" fmla="*/ 285642 w 438015"/>
                <a:gd name="connsiteY16" fmla="*/ 983990 h 983989"/>
                <a:gd name="connsiteX17" fmla="*/ 339032 w 438015"/>
                <a:gd name="connsiteY17" fmla="*/ 930599 h 983989"/>
                <a:gd name="connsiteX18" fmla="*/ 339239 w 438015"/>
                <a:gd name="connsiteY18" fmla="*/ 160264 h 983989"/>
                <a:gd name="connsiteX19" fmla="*/ 352612 w 438015"/>
                <a:gd name="connsiteY19" fmla="*/ 444673 h 983989"/>
                <a:gd name="connsiteX20" fmla="*/ 395313 w 438015"/>
                <a:gd name="connsiteY20" fmla="*/ 487376 h 983989"/>
                <a:gd name="connsiteX21" fmla="*/ 438015 w 438015"/>
                <a:gd name="connsiteY21" fmla="*/ 444673 h 983989"/>
                <a:gd name="connsiteX22" fmla="*/ 424642 w 438015"/>
                <a:gd name="connsiteY22" fmla="*/ 84165 h 983989"/>
                <a:gd name="connsiteX23" fmla="*/ 424642 w 438015"/>
                <a:gd name="connsiteY23" fmla="*/ 82823 h 983989"/>
                <a:gd name="connsiteX24" fmla="*/ 424694 w 438015"/>
                <a:gd name="connsiteY24" fmla="*/ 80139 h 98398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438015" h="983989">
                  <a:moveTo>
                    <a:pt x="424695" y="80137"/>
                  </a:moveTo>
                  <a:cubicBezTo>
                    <a:pt x="424695" y="36093"/>
                    <a:pt x="388654" y="0"/>
                    <a:pt x="344559" y="0"/>
                  </a:cubicBezTo>
                  <a:lnTo>
                    <a:pt x="94852" y="0"/>
                  </a:lnTo>
                  <a:cubicBezTo>
                    <a:pt x="52150" y="0"/>
                    <a:pt x="17401" y="33356"/>
                    <a:pt x="14716" y="74767"/>
                  </a:cubicBezTo>
                  <a:cubicBezTo>
                    <a:pt x="14716" y="77451"/>
                    <a:pt x="13373" y="80084"/>
                    <a:pt x="13373" y="84112"/>
                  </a:cubicBezTo>
                  <a:lnTo>
                    <a:pt x="0" y="444620"/>
                  </a:lnTo>
                  <a:cubicBezTo>
                    <a:pt x="0" y="468631"/>
                    <a:pt x="20034" y="487323"/>
                    <a:pt x="42702" y="487323"/>
                  </a:cubicBezTo>
                  <a:cubicBezTo>
                    <a:pt x="65421" y="487323"/>
                    <a:pt x="85403" y="467289"/>
                    <a:pt x="85403" y="444620"/>
                  </a:cubicBezTo>
                  <a:lnTo>
                    <a:pt x="98776" y="160211"/>
                  </a:lnTo>
                  <a:lnTo>
                    <a:pt x="100119" y="160211"/>
                  </a:lnTo>
                  <a:lnTo>
                    <a:pt x="100119" y="930599"/>
                  </a:lnTo>
                  <a:cubicBezTo>
                    <a:pt x="100119" y="959980"/>
                    <a:pt x="124129" y="983990"/>
                    <a:pt x="153510" y="983990"/>
                  </a:cubicBezTo>
                  <a:cubicBezTo>
                    <a:pt x="182890" y="983990"/>
                    <a:pt x="206900" y="959980"/>
                    <a:pt x="206900" y="930599"/>
                  </a:cubicBezTo>
                  <a:lnTo>
                    <a:pt x="213560" y="512669"/>
                  </a:lnTo>
                  <a:cubicBezTo>
                    <a:pt x="217588" y="514012"/>
                    <a:pt x="221564" y="514012"/>
                    <a:pt x="225592" y="512669"/>
                  </a:cubicBezTo>
                  <a:lnTo>
                    <a:pt x="232252" y="930599"/>
                  </a:lnTo>
                  <a:cubicBezTo>
                    <a:pt x="232252" y="959980"/>
                    <a:pt x="256262" y="983990"/>
                    <a:pt x="285642" y="983990"/>
                  </a:cubicBezTo>
                  <a:cubicBezTo>
                    <a:pt x="315023" y="983990"/>
                    <a:pt x="339032" y="959980"/>
                    <a:pt x="339032" y="930599"/>
                  </a:cubicBezTo>
                  <a:lnTo>
                    <a:pt x="339239" y="160264"/>
                  </a:lnTo>
                  <a:lnTo>
                    <a:pt x="352612" y="444673"/>
                  </a:lnTo>
                  <a:cubicBezTo>
                    <a:pt x="352612" y="468683"/>
                    <a:pt x="372645" y="487376"/>
                    <a:pt x="395313" y="487376"/>
                  </a:cubicBezTo>
                  <a:cubicBezTo>
                    <a:pt x="418033" y="487376"/>
                    <a:pt x="438015" y="467342"/>
                    <a:pt x="438015" y="444673"/>
                  </a:cubicBezTo>
                  <a:lnTo>
                    <a:pt x="424642" y="84165"/>
                  </a:lnTo>
                  <a:lnTo>
                    <a:pt x="424642" y="82823"/>
                  </a:lnTo>
                  <a:cubicBezTo>
                    <a:pt x="424694" y="80139"/>
                    <a:pt x="424694" y="81480"/>
                    <a:pt x="424694" y="80139"/>
                  </a:cubicBezTo>
                  <a:close/>
                </a:path>
              </a:pathLst>
            </a:custGeom>
            <a:solidFill>
              <a:srgbClr val="00385C"/>
            </a:solidFill>
            <a:ln w="5048" cap="flat">
              <a:noFill/>
              <a:prstDash val="solid"/>
              <a:miter/>
            </a:ln>
          </xdr:spPr>
          <xdr:txBody>
            <a:bodyPr wrap="square" rtlCol="0" anchor="ctr"/>
            <a:lstStyle>
              <a:defPPr>
                <a:defRPr lang="sv-S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sv-SE" sz="1800" b="0" i="0" u="none" strike="noStrike" kern="1200" cap="none" spc="0" normalizeH="0" baseline="0" noProof="0">
                <a:ln>
                  <a:noFill/>
                </a:ln>
                <a:solidFill>
                  <a:srgbClr val="000000"/>
                </a:solidFill>
                <a:effectLst/>
                <a:uLnTx/>
                <a:uFillTx/>
                <a:latin typeface="Noto Sans"/>
                <a:ea typeface="+mn-ea"/>
                <a:cs typeface="+mn-cs"/>
              </a:endParaRPr>
            </a:p>
          </xdr:txBody>
        </xdr:sp>
        <xdr:sp macro="" textlink="">
          <xdr:nvSpPr>
            <xdr:cNvPr id="101" name="Freeform: Shape 80">
              <a:extLst>
                <a:ext uri="{FF2B5EF4-FFF2-40B4-BE49-F238E27FC236}">
                  <a16:creationId xmlns:a16="http://schemas.microsoft.com/office/drawing/2014/main" id="{D7E7C821-D735-BB7D-DD7E-0854DD54441C}"/>
                </a:ext>
              </a:extLst>
            </xdr:cNvPr>
            <xdr:cNvSpPr/>
          </xdr:nvSpPr>
          <xdr:spPr>
            <a:xfrm>
              <a:off x="1188173" y="3582505"/>
              <a:ext cx="306025" cy="306000"/>
            </a:xfrm>
            <a:custGeom>
              <a:avLst/>
              <a:gdLst>
                <a:gd name="connsiteX0" fmla="*/ 122838 w 245675"/>
                <a:gd name="connsiteY0" fmla="*/ 245679 h 245679"/>
                <a:gd name="connsiteX1" fmla="*/ 245675 w 245675"/>
                <a:gd name="connsiteY1" fmla="*/ 122840 h 245679"/>
                <a:gd name="connsiteX2" fmla="*/ 122838 w 245675"/>
                <a:gd name="connsiteY2" fmla="*/ 0 h 245679"/>
                <a:gd name="connsiteX3" fmla="*/ 0 w 245675"/>
                <a:gd name="connsiteY3" fmla="*/ 122840 h 245679"/>
                <a:gd name="connsiteX4" fmla="*/ 122838 w 245675"/>
                <a:gd name="connsiteY4" fmla="*/ 245679 h 24567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45675" h="245679">
                  <a:moveTo>
                    <a:pt x="122838" y="245679"/>
                  </a:moveTo>
                  <a:cubicBezTo>
                    <a:pt x="190942" y="245679"/>
                    <a:pt x="245675" y="190947"/>
                    <a:pt x="245675" y="122840"/>
                  </a:cubicBezTo>
                  <a:cubicBezTo>
                    <a:pt x="245675" y="54733"/>
                    <a:pt x="190944" y="0"/>
                    <a:pt x="122838" y="0"/>
                  </a:cubicBezTo>
                  <a:cubicBezTo>
                    <a:pt x="54732" y="0"/>
                    <a:pt x="0" y="54784"/>
                    <a:pt x="0" y="122840"/>
                  </a:cubicBezTo>
                  <a:cubicBezTo>
                    <a:pt x="0" y="190945"/>
                    <a:pt x="54732" y="245679"/>
                    <a:pt x="122838" y="245679"/>
                  </a:cubicBezTo>
                  <a:close/>
                </a:path>
              </a:pathLst>
            </a:custGeom>
            <a:solidFill>
              <a:srgbClr val="00385C"/>
            </a:solidFill>
            <a:ln w="5048" cap="flat">
              <a:noFill/>
              <a:prstDash val="solid"/>
              <a:miter/>
            </a:ln>
          </xdr:spPr>
          <xdr:txBody>
            <a:bodyPr wrap="square" rtlCol="0" anchor="ctr"/>
            <a:lstStyle>
              <a:defPPr>
                <a:defRPr lang="sv-S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sv-SE" sz="1800" b="0" i="0" u="none" strike="noStrike" kern="1200" cap="none" spc="0" normalizeH="0" baseline="0" noProof="0">
                <a:ln>
                  <a:noFill/>
                </a:ln>
                <a:solidFill>
                  <a:srgbClr val="000000"/>
                </a:solidFill>
                <a:effectLst/>
                <a:uLnTx/>
                <a:uFillTx/>
                <a:latin typeface="Noto Sans"/>
                <a:ea typeface="+mn-ea"/>
                <a:cs typeface="+mn-cs"/>
              </a:endParaRPr>
            </a:p>
          </xdr:txBody>
        </xdr:sp>
      </xdr:grpSp>
      <xdr:grpSp>
        <xdr:nvGrpSpPr>
          <xdr:cNvPr id="83" name="Group 62">
            <a:extLst>
              <a:ext uri="{FF2B5EF4-FFF2-40B4-BE49-F238E27FC236}">
                <a16:creationId xmlns:a16="http://schemas.microsoft.com/office/drawing/2014/main" id="{CBEFC8E8-31A0-3C45-62DD-E53D36E17BD8}"/>
              </a:ext>
            </a:extLst>
          </xdr:cNvPr>
          <xdr:cNvGrpSpPr/>
        </xdr:nvGrpSpPr>
        <xdr:grpSpPr>
          <a:xfrm>
            <a:off x="2331922" y="3582505"/>
            <a:ext cx="604754" cy="1269399"/>
            <a:chOff x="2331922" y="3582505"/>
            <a:chExt cx="604754" cy="1269399"/>
          </a:xfrm>
        </xdr:grpSpPr>
        <xdr:sp macro="" textlink="">
          <xdr:nvSpPr>
            <xdr:cNvPr id="98" name="Freeform: Shape 77">
              <a:extLst>
                <a:ext uri="{FF2B5EF4-FFF2-40B4-BE49-F238E27FC236}">
                  <a16:creationId xmlns:a16="http://schemas.microsoft.com/office/drawing/2014/main" id="{74BF3497-F533-C9CA-B890-FE749766FD74}"/>
                </a:ext>
              </a:extLst>
            </xdr:cNvPr>
            <xdr:cNvSpPr/>
          </xdr:nvSpPr>
          <xdr:spPr>
            <a:xfrm>
              <a:off x="2331922" y="3912485"/>
              <a:ext cx="604754" cy="939419"/>
            </a:xfrm>
            <a:custGeom>
              <a:avLst/>
              <a:gdLst>
                <a:gd name="connsiteX0" fmla="*/ 424695 w 438015"/>
                <a:gd name="connsiteY0" fmla="*/ 80137 h 983989"/>
                <a:gd name="connsiteX1" fmla="*/ 344559 w 438015"/>
                <a:gd name="connsiteY1" fmla="*/ 0 h 983989"/>
                <a:gd name="connsiteX2" fmla="*/ 94852 w 438015"/>
                <a:gd name="connsiteY2" fmla="*/ 0 h 983989"/>
                <a:gd name="connsiteX3" fmla="*/ 14716 w 438015"/>
                <a:gd name="connsiteY3" fmla="*/ 74767 h 983989"/>
                <a:gd name="connsiteX4" fmla="*/ 13373 w 438015"/>
                <a:gd name="connsiteY4" fmla="*/ 84112 h 983989"/>
                <a:gd name="connsiteX5" fmla="*/ 0 w 438015"/>
                <a:gd name="connsiteY5" fmla="*/ 444620 h 983989"/>
                <a:gd name="connsiteX6" fmla="*/ 42702 w 438015"/>
                <a:gd name="connsiteY6" fmla="*/ 487323 h 983989"/>
                <a:gd name="connsiteX7" fmla="*/ 85403 w 438015"/>
                <a:gd name="connsiteY7" fmla="*/ 444620 h 983989"/>
                <a:gd name="connsiteX8" fmla="*/ 98776 w 438015"/>
                <a:gd name="connsiteY8" fmla="*/ 160211 h 983989"/>
                <a:gd name="connsiteX9" fmla="*/ 100119 w 438015"/>
                <a:gd name="connsiteY9" fmla="*/ 160211 h 983989"/>
                <a:gd name="connsiteX10" fmla="*/ 100119 w 438015"/>
                <a:gd name="connsiteY10" fmla="*/ 930599 h 983989"/>
                <a:gd name="connsiteX11" fmla="*/ 153510 w 438015"/>
                <a:gd name="connsiteY11" fmla="*/ 983990 h 983989"/>
                <a:gd name="connsiteX12" fmla="*/ 206900 w 438015"/>
                <a:gd name="connsiteY12" fmla="*/ 930599 h 983989"/>
                <a:gd name="connsiteX13" fmla="*/ 213560 w 438015"/>
                <a:gd name="connsiteY13" fmla="*/ 512669 h 983989"/>
                <a:gd name="connsiteX14" fmla="*/ 225592 w 438015"/>
                <a:gd name="connsiteY14" fmla="*/ 512669 h 983989"/>
                <a:gd name="connsiteX15" fmla="*/ 232252 w 438015"/>
                <a:gd name="connsiteY15" fmla="*/ 930599 h 983989"/>
                <a:gd name="connsiteX16" fmla="*/ 285642 w 438015"/>
                <a:gd name="connsiteY16" fmla="*/ 983990 h 983989"/>
                <a:gd name="connsiteX17" fmla="*/ 339032 w 438015"/>
                <a:gd name="connsiteY17" fmla="*/ 930599 h 983989"/>
                <a:gd name="connsiteX18" fmla="*/ 339239 w 438015"/>
                <a:gd name="connsiteY18" fmla="*/ 160264 h 983989"/>
                <a:gd name="connsiteX19" fmla="*/ 352612 w 438015"/>
                <a:gd name="connsiteY19" fmla="*/ 444673 h 983989"/>
                <a:gd name="connsiteX20" fmla="*/ 395313 w 438015"/>
                <a:gd name="connsiteY20" fmla="*/ 487376 h 983989"/>
                <a:gd name="connsiteX21" fmla="*/ 438015 w 438015"/>
                <a:gd name="connsiteY21" fmla="*/ 444673 h 983989"/>
                <a:gd name="connsiteX22" fmla="*/ 424642 w 438015"/>
                <a:gd name="connsiteY22" fmla="*/ 84165 h 983989"/>
                <a:gd name="connsiteX23" fmla="*/ 424642 w 438015"/>
                <a:gd name="connsiteY23" fmla="*/ 82823 h 983989"/>
                <a:gd name="connsiteX24" fmla="*/ 424694 w 438015"/>
                <a:gd name="connsiteY24" fmla="*/ 80139 h 98398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438015" h="983989">
                  <a:moveTo>
                    <a:pt x="424695" y="80137"/>
                  </a:moveTo>
                  <a:cubicBezTo>
                    <a:pt x="424695" y="36093"/>
                    <a:pt x="388654" y="0"/>
                    <a:pt x="344559" y="0"/>
                  </a:cubicBezTo>
                  <a:lnTo>
                    <a:pt x="94852" y="0"/>
                  </a:lnTo>
                  <a:cubicBezTo>
                    <a:pt x="52150" y="0"/>
                    <a:pt x="17401" y="33356"/>
                    <a:pt x="14716" y="74767"/>
                  </a:cubicBezTo>
                  <a:cubicBezTo>
                    <a:pt x="14716" y="77451"/>
                    <a:pt x="13373" y="80084"/>
                    <a:pt x="13373" y="84112"/>
                  </a:cubicBezTo>
                  <a:lnTo>
                    <a:pt x="0" y="444620"/>
                  </a:lnTo>
                  <a:cubicBezTo>
                    <a:pt x="0" y="468631"/>
                    <a:pt x="20034" y="487323"/>
                    <a:pt x="42702" y="487323"/>
                  </a:cubicBezTo>
                  <a:cubicBezTo>
                    <a:pt x="65421" y="487323"/>
                    <a:pt x="85403" y="467289"/>
                    <a:pt x="85403" y="444620"/>
                  </a:cubicBezTo>
                  <a:lnTo>
                    <a:pt x="98776" y="160211"/>
                  </a:lnTo>
                  <a:lnTo>
                    <a:pt x="100119" y="160211"/>
                  </a:lnTo>
                  <a:lnTo>
                    <a:pt x="100119" y="930599"/>
                  </a:lnTo>
                  <a:cubicBezTo>
                    <a:pt x="100119" y="959980"/>
                    <a:pt x="124129" y="983990"/>
                    <a:pt x="153510" y="983990"/>
                  </a:cubicBezTo>
                  <a:cubicBezTo>
                    <a:pt x="182890" y="983990"/>
                    <a:pt x="206900" y="959980"/>
                    <a:pt x="206900" y="930599"/>
                  </a:cubicBezTo>
                  <a:lnTo>
                    <a:pt x="213560" y="512669"/>
                  </a:lnTo>
                  <a:cubicBezTo>
                    <a:pt x="217588" y="514012"/>
                    <a:pt x="221564" y="514012"/>
                    <a:pt x="225592" y="512669"/>
                  </a:cubicBezTo>
                  <a:lnTo>
                    <a:pt x="232252" y="930599"/>
                  </a:lnTo>
                  <a:cubicBezTo>
                    <a:pt x="232252" y="959980"/>
                    <a:pt x="256262" y="983990"/>
                    <a:pt x="285642" y="983990"/>
                  </a:cubicBezTo>
                  <a:cubicBezTo>
                    <a:pt x="315023" y="983990"/>
                    <a:pt x="339032" y="959980"/>
                    <a:pt x="339032" y="930599"/>
                  </a:cubicBezTo>
                  <a:lnTo>
                    <a:pt x="339239" y="160264"/>
                  </a:lnTo>
                  <a:lnTo>
                    <a:pt x="352612" y="444673"/>
                  </a:lnTo>
                  <a:cubicBezTo>
                    <a:pt x="352612" y="468683"/>
                    <a:pt x="372645" y="487376"/>
                    <a:pt x="395313" y="487376"/>
                  </a:cubicBezTo>
                  <a:cubicBezTo>
                    <a:pt x="418033" y="487376"/>
                    <a:pt x="438015" y="467342"/>
                    <a:pt x="438015" y="444673"/>
                  </a:cubicBezTo>
                  <a:lnTo>
                    <a:pt x="424642" y="84165"/>
                  </a:lnTo>
                  <a:lnTo>
                    <a:pt x="424642" y="82823"/>
                  </a:lnTo>
                  <a:cubicBezTo>
                    <a:pt x="424694" y="80139"/>
                    <a:pt x="424694" y="81480"/>
                    <a:pt x="424694" y="80139"/>
                  </a:cubicBezTo>
                  <a:close/>
                </a:path>
              </a:pathLst>
            </a:custGeom>
            <a:solidFill>
              <a:srgbClr val="00385C"/>
            </a:solidFill>
            <a:ln w="5048" cap="flat">
              <a:noFill/>
              <a:prstDash val="solid"/>
              <a:miter/>
            </a:ln>
          </xdr:spPr>
          <xdr:txBody>
            <a:bodyPr wrap="square" rtlCol="0" anchor="ctr"/>
            <a:lstStyle>
              <a:defPPr>
                <a:defRPr lang="sv-S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sv-SE" sz="1800" b="0" i="0" u="none" strike="noStrike" kern="1200" cap="none" spc="0" normalizeH="0" baseline="0" noProof="0">
                <a:ln>
                  <a:noFill/>
                </a:ln>
                <a:solidFill>
                  <a:srgbClr val="000000"/>
                </a:solidFill>
                <a:effectLst/>
                <a:uLnTx/>
                <a:uFillTx/>
                <a:latin typeface="Noto Sans"/>
                <a:ea typeface="+mn-ea"/>
                <a:cs typeface="+mn-cs"/>
              </a:endParaRPr>
            </a:p>
          </xdr:txBody>
        </xdr:sp>
        <xdr:sp macro="" textlink="">
          <xdr:nvSpPr>
            <xdr:cNvPr id="99" name="Freeform: Shape 78">
              <a:extLst>
                <a:ext uri="{FF2B5EF4-FFF2-40B4-BE49-F238E27FC236}">
                  <a16:creationId xmlns:a16="http://schemas.microsoft.com/office/drawing/2014/main" id="{3E9E1CEF-4C62-F18C-2077-6E7DF0CAABFC}"/>
                </a:ext>
              </a:extLst>
            </xdr:cNvPr>
            <xdr:cNvSpPr/>
          </xdr:nvSpPr>
          <xdr:spPr>
            <a:xfrm>
              <a:off x="2481286" y="3582505"/>
              <a:ext cx="306025" cy="306000"/>
            </a:xfrm>
            <a:custGeom>
              <a:avLst/>
              <a:gdLst>
                <a:gd name="connsiteX0" fmla="*/ 122838 w 245675"/>
                <a:gd name="connsiteY0" fmla="*/ 245679 h 245679"/>
                <a:gd name="connsiteX1" fmla="*/ 245675 w 245675"/>
                <a:gd name="connsiteY1" fmla="*/ 122840 h 245679"/>
                <a:gd name="connsiteX2" fmla="*/ 122838 w 245675"/>
                <a:gd name="connsiteY2" fmla="*/ 0 h 245679"/>
                <a:gd name="connsiteX3" fmla="*/ 0 w 245675"/>
                <a:gd name="connsiteY3" fmla="*/ 122840 h 245679"/>
                <a:gd name="connsiteX4" fmla="*/ 122838 w 245675"/>
                <a:gd name="connsiteY4" fmla="*/ 245679 h 24567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45675" h="245679">
                  <a:moveTo>
                    <a:pt x="122838" y="245679"/>
                  </a:moveTo>
                  <a:cubicBezTo>
                    <a:pt x="190942" y="245679"/>
                    <a:pt x="245675" y="190947"/>
                    <a:pt x="245675" y="122840"/>
                  </a:cubicBezTo>
                  <a:cubicBezTo>
                    <a:pt x="245675" y="54733"/>
                    <a:pt x="190944" y="0"/>
                    <a:pt x="122838" y="0"/>
                  </a:cubicBezTo>
                  <a:cubicBezTo>
                    <a:pt x="54732" y="0"/>
                    <a:pt x="0" y="54784"/>
                    <a:pt x="0" y="122840"/>
                  </a:cubicBezTo>
                  <a:cubicBezTo>
                    <a:pt x="0" y="190945"/>
                    <a:pt x="54732" y="245679"/>
                    <a:pt x="122838" y="245679"/>
                  </a:cubicBezTo>
                  <a:close/>
                </a:path>
              </a:pathLst>
            </a:custGeom>
            <a:solidFill>
              <a:srgbClr val="00385C"/>
            </a:solidFill>
            <a:ln w="5048" cap="flat">
              <a:noFill/>
              <a:prstDash val="solid"/>
              <a:miter/>
            </a:ln>
          </xdr:spPr>
          <xdr:txBody>
            <a:bodyPr wrap="square" rtlCol="0" anchor="ctr"/>
            <a:lstStyle>
              <a:defPPr>
                <a:defRPr lang="sv-S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sv-SE" sz="1800" b="0" i="0" u="none" strike="noStrike" kern="1200" cap="none" spc="0" normalizeH="0" baseline="0" noProof="0">
                <a:ln>
                  <a:noFill/>
                </a:ln>
                <a:solidFill>
                  <a:srgbClr val="000000"/>
                </a:solidFill>
                <a:effectLst/>
                <a:uLnTx/>
                <a:uFillTx/>
                <a:latin typeface="Noto Sans"/>
                <a:ea typeface="+mn-ea"/>
                <a:cs typeface="+mn-cs"/>
              </a:endParaRPr>
            </a:p>
          </xdr:txBody>
        </xdr:sp>
      </xdr:grpSp>
      <xdr:grpSp>
        <xdr:nvGrpSpPr>
          <xdr:cNvPr id="84" name="Group 63">
            <a:extLst>
              <a:ext uri="{FF2B5EF4-FFF2-40B4-BE49-F238E27FC236}">
                <a16:creationId xmlns:a16="http://schemas.microsoft.com/office/drawing/2014/main" id="{F601AEB9-10E0-D093-D49D-4A0163D8795D}"/>
              </a:ext>
            </a:extLst>
          </xdr:cNvPr>
          <xdr:cNvGrpSpPr/>
        </xdr:nvGrpSpPr>
        <xdr:grpSpPr>
          <a:xfrm>
            <a:off x="1659324" y="3487167"/>
            <a:ext cx="656835" cy="1364737"/>
            <a:chOff x="1662493" y="3487167"/>
            <a:chExt cx="656835" cy="1364737"/>
          </a:xfrm>
        </xdr:grpSpPr>
        <xdr:sp macro="" textlink="">
          <xdr:nvSpPr>
            <xdr:cNvPr id="96" name="Freeform: Shape 75">
              <a:extLst>
                <a:ext uri="{FF2B5EF4-FFF2-40B4-BE49-F238E27FC236}">
                  <a16:creationId xmlns:a16="http://schemas.microsoft.com/office/drawing/2014/main" id="{F7354068-8411-80C0-73E4-B30ACE876DE8}"/>
                </a:ext>
              </a:extLst>
            </xdr:cNvPr>
            <xdr:cNvSpPr/>
          </xdr:nvSpPr>
          <xdr:spPr>
            <a:xfrm>
              <a:off x="1662493" y="3831583"/>
              <a:ext cx="656835" cy="1020321"/>
            </a:xfrm>
            <a:custGeom>
              <a:avLst/>
              <a:gdLst>
                <a:gd name="connsiteX0" fmla="*/ 424695 w 438015"/>
                <a:gd name="connsiteY0" fmla="*/ 80137 h 983989"/>
                <a:gd name="connsiteX1" fmla="*/ 344559 w 438015"/>
                <a:gd name="connsiteY1" fmla="*/ 0 h 983989"/>
                <a:gd name="connsiteX2" fmla="*/ 94852 w 438015"/>
                <a:gd name="connsiteY2" fmla="*/ 0 h 983989"/>
                <a:gd name="connsiteX3" fmla="*/ 14716 w 438015"/>
                <a:gd name="connsiteY3" fmla="*/ 74767 h 983989"/>
                <a:gd name="connsiteX4" fmla="*/ 13373 w 438015"/>
                <a:gd name="connsiteY4" fmla="*/ 84112 h 983989"/>
                <a:gd name="connsiteX5" fmla="*/ 0 w 438015"/>
                <a:gd name="connsiteY5" fmla="*/ 444620 h 983989"/>
                <a:gd name="connsiteX6" fmla="*/ 42702 w 438015"/>
                <a:gd name="connsiteY6" fmla="*/ 487323 h 983989"/>
                <a:gd name="connsiteX7" fmla="*/ 85403 w 438015"/>
                <a:gd name="connsiteY7" fmla="*/ 444620 h 983989"/>
                <a:gd name="connsiteX8" fmla="*/ 98776 w 438015"/>
                <a:gd name="connsiteY8" fmla="*/ 160211 h 983989"/>
                <a:gd name="connsiteX9" fmla="*/ 100119 w 438015"/>
                <a:gd name="connsiteY9" fmla="*/ 160211 h 983989"/>
                <a:gd name="connsiteX10" fmla="*/ 100119 w 438015"/>
                <a:gd name="connsiteY10" fmla="*/ 930599 h 983989"/>
                <a:gd name="connsiteX11" fmla="*/ 153510 w 438015"/>
                <a:gd name="connsiteY11" fmla="*/ 983990 h 983989"/>
                <a:gd name="connsiteX12" fmla="*/ 206900 w 438015"/>
                <a:gd name="connsiteY12" fmla="*/ 930599 h 983989"/>
                <a:gd name="connsiteX13" fmla="*/ 213560 w 438015"/>
                <a:gd name="connsiteY13" fmla="*/ 512669 h 983989"/>
                <a:gd name="connsiteX14" fmla="*/ 225592 w 438015"/>
                <a:gd name="connsiteY14" fmla="*/ 512669 h 983989"/>
                <a:gd name="connsiteX15" fmla="*/ 232252 w 438015"/>
                <a:gd name="connsiteY15" fmla="*/ 930599 h 983989"/>
                <a:gd name="connsiteX16" fmla="*/ 285642 w 438015"/>
                <a:gd name="connsiteY16" fmla="*/ 983990 h 983989"/>
                <a:gd name="connsiteX17" fmla="*/ 339032 w 438015"/>
                <a:gd name="connsiteY17" fmla="*/ 930599 h 983989"/>
                <a:gd name="connsiteX18" fmla="*/ 339239 w 438015"/>
                <a:gd name="connsiteY18" fmla="*/ 160264 h 983989"/>
                <a:gd name="connsiteX19" fmla="*/ 352612 w 438015"/>
                <a:gd name="connsiteY19" fmla="*/ 444673 h 983989"/>
                <a:gd name="connsiteX20" fmla="*/ 395313 w 438015"/>
                <a:gd name="connsiteY20" fmla="*/ 487376 h 983989"/>
                <a:gd name="connsiteX21" fmla="*/ 438015 w 438015"/>
                <a:gd name="connsiteY21" fmla="*/ 444673 h 983989"/>
                <a:gd name="connsiteX22" fmla="*/ 424642 w 438015"/>
                <a:gd name="connsiteY22" fmla="*/ 84165 h 983989"/>
                <a:gd name="connsiteX23" fmla="*/ 424642 w 438015"/>
                <a:gd name="connsiteY23" fmla="*/ 82823 h 983989"/>
                <a:gd name="connsiteX24" fmla="*/ 424694 w 438015"/>
                <a:gd name="connsiteY24" fmla="*/ 80139 h 98398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438015" h="983989">
                  <a:moveTo>
                    <a:pt x="424695" y="80137"/>
                  </a:moveTo>
                  <a:cubicBezTo>
                    <a:pt x="424695" y="36093"/>
                    <a:pt x="388654" y="0"/>
                    <a:pt x="344559" y="0"/>
                  </a:cubicBezTo>
                  <a:lnTo>
                    <a:pt x="94852" y="0"/>
                  </a:lnTo>
                  <a:cubicBezTo>
                    <a:pt x="52150" y="0"/>
                    <a:pt x="17401" y="33356"/>
                    <a:pt x="14716" y="74767"/>
                  </a:cubicBezTo>
                  <a:cubicBezTo>
                    <a:pt x="14716" y="77451"/>
                    <a:pt x="13373" y="80084"/>
                    <a:pt x="13373" y="84112"/>
                  </a:cubicBezTo>
                  <a:lnTo>
                    <a:pt x="0" y="444620"/>
                  </a:lnTo>
                  <a:cubicBezTo>
                    <a:pt x="0" y="468631"/>
                    <a:pt x="20034" y="487323"/>
                    <a:pt x="42702" y="487323"/>
                  </a:cubicBezTo>
                  <a:cubicBezTo>
                    <a:pt x="65421" y="487323"/>
                    <a:pt x="85403" y="467289"/>
                    <a:pt x="85403" y="444620"/>
                  </a:cubicBezTo>
                  <a:lnTo>
                    <a:pt x="98776" y="160211"/>
                  </a:lnTo>
                  <a:lnTo>
                    <a:pt x="100119" y="160211"/>
                  </a:lnTo>
                  <a:lnTo>
                    <a:pt x="100119" y="930599"/>
                  </a:lnTo>
                  <a:cubicBezTo>
                    <a:pt x="100119" y="959980"/>
                    <a:pt x="124129" y="983990"/>
                    <a:pt x="153510" y="983990"/>
                  </a:cubicBezTo>
                  <a:cubicBezTo>
                    <a:pt x="182890" y="983990"/>
                    <a:pt x="206900" y="959980"/>
                    <a:pt x="206900" y="930599"/>
                  </a:cubicBezTo>
                  <a:lnTo>
                    <a:pt x="213560" y="512669"/>
                  </a:lnTo>
                  <a:cubicBezTo>
                    <a:pt x="217588" y="514012"/>
                    <a:pt x="221564" y="514012"/>
                    <a:pt x="225592" y="512669"/>
                  </a:cubicBezTo>
                  <a:lnTo>
                    <a:pt x="232252" y="930599"/>
                  </a:lnTo>
                  <a:cubicBezTo>
                    <a:pt x="232252" y="959980"/>
                    <a:pt x="256262" y="983990"/>
                    <a:pt x="285642" y="983990"/>
                  </a:cubicBezTo>
                  <a:cubicBezTo>
                    <a:pt x="315023" y="983990"/>
                    <a:pt x="339032" y="959980"/>
                    <a:pt x="339032" y="930599"/>
                  </a:cubicBezTo>
                  <a:lnTo>
                    <a:pt x="339239" y="160264"/>
                  </a:lnTo>
                  <a:lnTo>
                    <a:pt x="352612" y="444673"/>
                  </a:lnTo>
                  <a:cubicBezTo>
                    <a:pt x="352612" y="468683"/>
                    <a:pt x="372645" y="487376"/>
                    <a:pt x="395313" y="487376"/>
                  </a:cubicBezTo>
                  <a:cubicBezTo>
                    <a:pt x="418033" y="487376"/>
                    <a:pt x="438015" y="467342"/>
                    <a:pt x="438015" y="444673"/>
                  </a:cubicBezTo>
                  <a:lnTo>
                    <a:pt x="424642" y="84165"/>
                  </a:lnTo>
                  <a:lnTo>
                    <a:pt x="424642" y="82823"/>
                  </a:lnTo>
                  <a:cubicBezTo>
                    <a:pt x="424694" y="80139"/>
                    <a:pt x="424694" y="81480"/>
                    <a:pt x="424694" y="80139"/>
                  </a:cubicBezTo>
                  <a:close/>
                </a:path>
              </a:pathLst>
            </a:custGeom>
            <a:solidFill>
              <a:srgbClr val="00385C"/>
            </a:solidFill>
            <a:ln w="5048" cap="flat">
              <a:noFill/>
              <a:prstDash val="solid"/>
              <a:miter/>
            </a:ln>
          </xdr:spPr>
          <xdr:txBody>
            <a:bodyPr wrap="square" rtlCol="0" anchor="ctr"/>
            <a:lstStyle>
              <a:defPPr>
                <a:defRPr lang="sv-S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sv-SE" sz="1800" b="0" i="0" u="none" strike="noStrike" kern="1200" cap="none" spc="0" normalizeH="0" baseline="0" noProof="0">
                <a:ln>
                  <a:noFill/>
                </a:ln>
                <a:solidFill>
                  <a:srgbClr val="000000"/>
                </a:solidFill>
                <a:effectLst/>
                <a:uLnTx/>
                <a:uFillTx/>
                <a:latin typeface="Noto Sans"/>
                <a:ea typeface="+mn-ea"/>
                <a:cs typeface="+mn-cs"/>
              </a:endParaRPr>
            </a:p>
          </xdr:txBody>
        </xdr:sp>
        <xdr:sp macro="" textlink="">
          <xdr:nvSpPr>
            <xdr:cNvPr id="97" name="Freeform: Shape 76">
              <a:extLst>
                <a:ext uri="{FF2B5EF4-FFF2-40B4-BE49-F238E27FC236}">
                  <a16:creationId xmlns:a16="http://schemas.microsoft.com/office/drawing/2014/main" id="{3A5AA0C2-EF22-A322-2EBD-7A1CEBE1DDA5}"/>
                </a:ext>
              </a:extLst>
            </xdr:cNvPr>
            <xdr:cNvSpPr/>
          </xdr:nvSpPr>
          <xdr:spPr>
            <a:xfrm>
              <a:off x="1828910" y="3487167"/>
              <a:ext cx="324000" cy="324000"/>
            </a:xfrm>
            <a:custGeom>
              <a:avLst/>
              <a:gdLst>
                <a:gd name="connsiteX0" fmla="*/ 122838 w 245675"/>
                <a:gd name="connsiteY0" fmla="*/ 245679 h 245679"/>
                <a:gd name="connsiteX1" fmla="*/ 245675 w 245675"/>
                <a:gd name="connsiteY1" fmla="*/ 122840 h 245679"/>
                <a:gd name="connsiteX2" fmla="*/ 122838 w 245675"/>
                <a:gd name="connsiteY2" fmla="*/ 0 h 245679"/>
                <a:gd name="connsiteX3" fmla="*/ 0 w 245675"/>
                <a:gd name="connsiteY3" fmla="*/ 122840 h 245679"/>
                <a:gd name="connsiteX4" fmla="*/ 122838 w 245675"/>
                <a:gd name="connsiteY4" fmla="*/ 245679 h 24567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45675" h="245679">
                  <a:moveTo>
                    <a:pt x="122838" y="245679"/>
                  </a:moveTo>
                  <a:cubicBezTo>
                    <a:pt x="190942" y="245679"/>
                    <a:pt x="245675" y="190947"/>
                    <a:pt x="245675" y="122840"/>
                  </a:cubicBezTo>
                  <a:cubicBezTo>
                    <a:pt x="245675" y="54733"/>
                    <a:pt x="190944" y="0"/>
                    <a:pt x="122838" y="0"/>
                  </a:cubicBezTo>
                  <a:cubicBezTo>
                    <a:pt x="54732" y="0"/>
                    <a:pt x="0" y="54784"/>
                    <a:pt x="0" y="122840"/>
                  </a:cubicBezTo>
                  <a:cubicBezTo>
                    <a:pt x="0" y="190945"/>
                    <a:pt x="54732" y="245679"/>
                    <a:pt x="122838" y="245679"/>
                  </a:cubicBezTo>
                  <a:close/>
                </a:path>
              </a:pathLst>
            </a:custGeom>
            <a:solidFill>
              <a:srgbClr val="00385C"/>
            </a:solidFill>
            <a:ln w="5048" cap="flat">
              <a:noFill/>
              <a:prstDash val="solid"/>
              <a:miter/>
            </a:ln>
          </xdr:spPr>
          <xdr:txBody>
            <a:bodyPr wrap="square" rtlCol="0" anchor="ctr"/>
            <a:lstStyle>
              <a:defPPr>
                <a:defRPr lang="sv-S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sv-SE" sz="1800" b="0" i="0" u="none" strike="noStrike" kern="1200" cap="none" spc="0" normalizeH="0" baseline="0" noProof="0">
                <a:ln>
                  <a:noFill/>
                </a:ln>
                <a:solidFill>
                  <a:srgbClr val="000000"/>
                </a:solidFill>
                <a:effectLst/>
                <a:uLnTx/>
                <a:uFillTx/>
                <a:latin typeface="Noto Sans"/>
                <a:ea typeface="+mn-ea"/>
                <a:cs typeface="+mn-cs"/>
              </a:endParaRPr>
            </a:p>
          </xdr:txBody>
        </xdr:sp>
      </xdr:grpSp>
      <xdr:sp macro="" textlink="">
        <xdr:nvSpPr>
          <xdr:cNvPr id="85" name="Freeform: Shape 64">
            <a:extLst>
              <a:ext uri="{FF2B5EF4-FFF2-40B4-BE49-F238E27FC236}">
                <a16:creationId xmlns:a16="http://schemas.microsoft.com/office/drawing/2014/main" id="{2099A097-E7E7-659A-27F2-50720D0E7A2F}"/>
              </a:ext>
            </a:extLst>
          </xdr:cNvPr>
          <xdr:cNvSpPr/>
        </xdr:nvSpPr>
        <xdr:spPr>
          <a:xfrm>
            <a:off x="2216040" y="3612507"/>
            <a:ext cx="216000" cy="217102"/>
          </a:xfrm>
          <a:custGeom>
            <a:avLst/>
            <a:gdLst>
              <a:gd name="connsiteX0" fmla="*/ 122838 w 245675"/>
              <a:gd name="connsiteY0" fmla="*/ 245679 h 245679"/>
              <a:gd name="connsiteX1" fmla="*/ 245675 w 245675"/>
              <a:gd name="connsiteY1" fmla="*/ 122840 h 245679"/>
              <a:gd name="connsiteX2" fmla="*/ 122838 w 245675"/>
              <a:gd name="connsiteY2" fmla="*/ 0 h 245679"/>
              <a:gd name="connsiteX3" fmla="*/ 0 w 245675"/>
              <a:gd name="connsiteY3" fmla="*/ 122840 h 245679"/>
              <a:gd name="connsiteX4" fmla="*/ 122838 w 245675"/>
              <a:gd name="connsiteY4" fmla="*/ 245679 h 24567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45675" h="245679">
                <a:moveTo>
                  <a:pt x="122838" y="245679"/>
                </a:moveTo>
                <a:cubicBezTo>
                  <a:pt x="190942" y="245679"/>
                  <a:pt x="245675" y="190947"/>
                  <a:pt x="245675" y="122840"/>
                </a:cubicBezTo>
                <a:cubicBezTo>
                  <a:pt x="245675" y="54733"/>
                  <a:pt x="190944" y="0"/>
                  <a:pt x="122838" y="0"/>
                </a:cubicBezTo>
                <a:cubicBezTo>
                  <a:pt x="54732" y="0"/>
                  <a:pt x="0" y="54784"/>
                  <a:pt x="0" y="122840"/>
                </a:cubicBezTo>
                <a:cubicBezTo>
                  <a:pt x="0" y="190945"/>
                  <a:pt x="54732" y="245679"/>
                  <a:pt x="122838" y="245679"/>
                </a:cubicBezTo>
                <a:close/>
              </a:path>
            </a:pathLst>
          </a:custGeom>
          <a:solidFill>
            <a:srgbClr val="00385C"/>
          </a:solidFill>
          <a:ln w="5048" cap="flat">
            <a:noFill/>
            <a:prstDash val="solid"/>
            <a:miter/>
          </a:ln>
        </xdr:spPr>
        <xdr:txBody>
          <a:bodyPr wrap="square" rtlCol="0" anchor="ctr"/>
          <a:lstStyle>
            <a:defPPr>
              <a:defRPr lang="sv-S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sv-SE" sz="1800" b="0" i="0" u="none" strike="noStrike" kern="1200" cap="none" spc="0" normalizeH="0" baseline="0" noProof="0">
              <a:ln>
                <a:noFill/>
              </a:ln>
              <a:solidFill>
                <a:srgbClr val="000000"/>
              </a:solidFill>
              <a:effectLst/>
              <a:uLnTx/>
              <a:uFillTx/>
              <a:latin typeface="Noto Sans"/>
              <a:ea typeface="+mn-ea"/>
              <a:cs typeface="+mn-cs"/>
            </a:endParaRPr>
          </a:p>
        </xdr:txBody>
      </xdr:sp>
      <xdr:sp macro="" textlink="">
        <xdr:nvSpPr>
          <xdr:cNvPr id="86" name="Freeform: Shape 65">
            <a:extLst>
              <a:ext uri="{FF2B5EF4-FFF2-40B4-BE49-F238E27FC236}">
                <a16:creationId xmlns:a16="http://schemas.microsoft.com/office/drawing/2014/main" id="{3932FEED-7C20-C7BE-AD36-F055C2516429}"/>
              </a:ext>
            </a:extLst>
          </xdr:cNvPr>
          <xdr:cNvSpPr/>
        </xdr:nvSpPr>
        <xdr:spPr>
          <a:xfrm>
            <a:off x="1543443" y="3612507"/>
            <a:ext cx="216000" cy="217102"/>
          </a:xfrm>
          <a:custGeom>
            <a:avLst/>
            <a:gdLst>
              <a:gd name="connsiteX0" fmla="*/ 122838 w 245675"/>
              <a:gd name="connsiteY0" fmla="*/ 245679 h 245679"/>
              <a:gd name="connsiteX1" fmla="*/ 245675 w 245675"/>
              <a:gd name="connsiteY1" fmla="*/ 122840 h 245679"/>
              <a:gd name="connsiteX2" fmla="*/ 122838 w 245675"/>
              <a:gd name="connsiteY2" fmla="*/ 0 h 245679"/>
              <a:gd name="connsiteX3" fmla="*/ 0 w 245675"/>
              <a:gd name="connsiteY3" fmla="*/ 122840 h 245679"/>
              <a:gd name="connsiteX4" fmla="*/ 122838 w 245675"/>
              <a:gd name="connsiteY4" fmla="*/ 245679 h 24567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45675" h="245679">
                <a:moveTo>
                  <a:pt x="122838" y="245679"/>
                </a:moveTo>
                <a:cubicBezTo>
                  <a:pt x="190942" y="245679"/>
                  <a:pt x="245675" y="190947"/>
                  <a:pt x="245675" y="122840"/>
                </a:cubicBezTo>
                <a:cubicBezTo>
                  <a:pt x="245675" y="54733"/>
                  <a:pt x="190944" y="0"/>
                  <a:pt x="122838" y="0"/>
                </a:cubicBezTo>
                <a:cubicBezTo>
                  <a:pt x="54732" y="0"/>
                  <a:pt x="0" y="54784"/>
                  <a:pt x="0" y="122840"/>
                </a:cubicBezTo>
                <a:cubicBezTo>
                  <a:pt x="0" y="190945"/>
                  <a:pt x="54732" y="245679"/>
                  <a:pt x="122838" y="245679"/>
                </a:cubicBezTo>
                <a:close/>
              </a:path>
            </a:pathLst>
          </a:custGeom>
          <a:solidFill>
            <a:srgbClr val="00385C"/>
          </a:solidFill>
          <a:ln w="5048" cap="flat">
            <a:noFill/>
            <a:prstDash val="solid"/>
            <a:miter/>
          </a:ln>
        </xdr:spPr>
        <xdr:txBody>
          <a:bodyPr wrap="square" rtlCol="0" anchor="ctr"/>
          <a:lstStyle>
            <a:defPPr>
              <a:defRPr lang="sv-S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sv-SE" sz="1800" b="0" i="0" u="none" strike="noStrike" kern="1200" cap="none" spc="0" normalizeH="0" baseline="0" noProof="0">
              <a:ln>
                <a:noFill/>
              </a:ln>
              <a:solidFill>
                <a:srgbClr val="000000"/>
              </a:solidFill>
              <a:effectLst/>
              <a:uLnTx/>
              <a:uFillTx/>
              <a:latin typeface="Noto Sans"/>
              <a:ea typeface="+mn-ea"/>
              <a:cs typeface="+mn-cs"/>
            </a:endParaRPr>
          </a:p>
        </xdr:txBody>
      </xdr:sp>
      <xdr:grpSp>
        <xdr:nvGrpSpPr>
          <xdr:cNvPr id="87" name="Group 66">
            <a:extLst>
              <a:ext uri="{FF2B5EF4-FFF2-40B4-BE49-F238E27FC236}">
                <a16:creationId xmlns:a16="http://schemas.microsoft.com/office/drawing/2014/main" id="{86E5ADE0-B2AE-C630-8549-29D25879721F}"/>
              </a:ext>
            </a:extLst>
          </xdr:cNvPr>
          <xdr:cNvGrpSpPr/>
        </xdr:nvGrpSpPr>
        <xdr:grpSpPr>
          <a:xfrm>
            <a:off x="1358327" y="4627343"/>
            <a:ext cx="144677" cy="144677"/>
            <a:chOff x="3914555" y="3375005"/>
            <a:chExt cx="319927" cy="319927"/>
          </a:xfrm>
          <a:solidFill>
            <a:srgbClr val="FCFAF7"/>
          </a:solidFill>
        </xdr:grpSpPr>
        <xdr:sp macro="" textlink="">
          <xdr:nvSpPr>
            <xdr:cNvPr id="94" name="Oval 73">
              <a:extLst>
                <a:ext uri="{FF2B5EF4-FFF2-40B4-BE49-F238E27FC236}">
                  <a16:creationId xmlns:a16="http://schemas.microsoft.com/office/drawing/2014/main" id="{BC0F2F3D-3131-98BD-BCE3-B60AFEF997F7}"/>
                </a:ext>
              </a:extLst>
            </xdr:cNvPr>
            <xdr:cNvSpPr/>
          </xdr:nvSpPr>
          <xdr:spPr>
            <a:xfrm>
              <a:off x="3914555" y="3375005"/>
              <a:ext cx="319927" cy="319927"/>
            </a:xfrm>
            <a:prstGeom prst="ellipse">
              <a:avLst/>
            </a:prstGeom>
            <a:grpFill/>
            <a:ln w="38100" cap="flat" cmpd="sng" algn="ctr">
              <a:solidFill>
                <a:srgbClr val="00385C"/>
              </a:solidFill>
              <a:prstDash val="solid"/>
              <a:miter lim="800000"/>
            </a:ln>
            <a:effectLst/>
          </xdr:spPr>
          <xdr:txBody>
            <a:bodyPr wrap="square" rtlCol="0" anchor="ctr"/>
            <a:lstStyle>
              <a:defPPr>
                <a:defRPr lang="sv-S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sv-SE" sz="1400" b="0" i="0" u="none" strike="noStrike" kern="1200" cap="none" spc="0" normalizeH="0" baseline="0" noProof="0">
                <a:ln>
                  <a:noFill/>
                </a:ln>
                <a:solidFill>
                  <a:srgbClr val="000000"/>
                </a:solidFill>
                <a:effectLst/>
                <a:uLnTx/>
                <a:uFillTx/>
                <a:latin typeface="Bauhaus 93" panose="04030905020B02020C02" pitchFamily="82" charset="0"/>
                <a:ea typeface="+mn-ea"/>
                <a:cs typeface="+mn-cs"/>
              </a:endParaRPr>
            </a:p>
          </xdr:txBody>
        </xdr:sp>
        <xdr:sp macro="" textlink="">
          <xdr:nvSpPr>
            <xdr:cNvPr id="95" name="Oval 74">
              <a:extLst>
                <a:ext uri="{FF2B5EF4-FFF2-40B4-BE49-F238E27FC236}">
                  <a16:creationId xmlns:a16="http://schemas.microsoft.com/office/drawing/2014/main" id="{EE003847-4D93-FC73-3F62-378AB2ABF0C9}"/>
                </a:ext>
              </a:extLst>
            </xdr:cNvPr>
            <xdr:cNvSpPr/>
          </xdr:nvSpPr>
          <xdr:spPr>
            <a:xfrm>
              <a:off x="3942404" y="3402854"/>
              <a:ext cx="264230" cy="264230"/>
            </a:xfrm>
            <a:prstGeom prst="ellipse">
              <a:avLst/>
            </a:prstGeom>
            <a:grpFill/>
            <a:ln w="38100" cap="flat" cmpd="sng" algn="ctr">
              <a:solidFill>
                <a:srgbClr val="FCFAF7"/>
              </a:solidFill>
              <a:prstDash val="solid"/>
              <a:miter lim="800000"/>
            </a:ln>
            <a:effectLst/>
          </xdr:spPr>
          <xdr:txBody>
            <a:bodyPr wrap="square" rtlCol="0" anchor="ctr"/>
            <a:lstStyle>
              <a:defPPr>
                <a:defRPr lang="sv-S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GB" sz="1400" b="0" i="0" u="none" strike="noStrike" kern="1200" cap="none" spc="0" normalizeH="0" baseline="0" noProof="0">
                  <a:ln>
                    <a:noFill/>
                  </a:ln>
                  <a:solidFill>
                    <a:srgbClr val="00385C"/>
                  </a:solidFill>
                  <a:effectLst/>
                  <a:uLnTx/>
                  <a:uFillTx/>
                  <a:latin typeface="Bauhaus 93" panose="04030905020B02020C02" pitchFamily="82" charset="0"/>
                  <a:ea typeface="+mn-ea"/>
                  <a:cs typeface="+mn-cs"/>
                </a:rPr>
                <a:t>+</a:t>
              </a:r>
              <a:endParaRPr kumimoji="0" lang="sv-SE" sz="1400" b="0" i="0" u="none" strike="noStrike" kern="1200" cap="none" spc="0" normalizeH="0" baseline="0" noProof="0">
                <a:ln>
                  <a:noFill/>
                </a:ln>
                <a:solidFill>
                  <a:srgbClr val="00385C"/>
                </a:solidFill>
                <a:effectLst/>
                <a:uLnTx/>
                <a:uFillTx/>
                <a:latin typeface="Bauhaus 93" panose="04030905020B02020C02" pitchFamily="82" charset="0"/>
                <a:ea typeface="+mn-ea"/>
                <a:cs typeface="+mn-cs"/>
              </a:endParaRPr>
            </a:p>
          </xdr:txBody>
        </xdr:sp>
      </xdr:grpSp>
      <xdr:grpSp>
        <xdr:nvGrpSpPr>
          <xdr:cNvPr id="88" name="Group 67">
            <a:extLst>
              <a:ext uri="{FF2B5EF4-FFF2-40B4-BE49-F238E27FC236}">
                <a16:creationId xmlns:a16="http://schemas.microsoft.com/office/drawing/2014/main" id="{81416360-7E38-813B-0C64-E6D5C2D8D910}"/>
              </a:ext>
            </a:extLst>
          </xdr:cNvPr>
          <xdr:cNvGrpSpPr/>
        </xdr:nvGrpSpPr>
        <xdr:grpSpPr>
          <a:xfrm>
            <a:off x="1990910" y="3912485"/>
            <a:ext cx="144677" cy="144677"/>
            <a:chOff x="3914555" y="3375005"/>
            <a:chExt cx="319927" cy="319927"/>
          </a:xfrm>
          <a:solidFill>
            <a:srgbClr val="FCFAF7"/>
          </a:solidFill>
        </xdr:grpSpPr>
        <xdr:sp macro="" textlink="">
          <xdr:nvSpPr>
            <xdr:cNvPr id="92" name="Oval 71">
              <a:extLst>
                <a:ext uri="{FF2B5EF4-FFF2-40B4-BE49-F238E27FC236}">
                  <a16:creationId xmlns:a16="http://schemas.microsoft.com/office/drawing/2014/main" id="{51BFF11C-7A39-ED00-5A8B-282AAAF9C8A3}"/>
                </a:ext>
              </a:extLst>
            </xdr:cNvPr>
            <xdr:cNvSpPr/>
          </xdr:nvSpPr>
          <xdr:spPr>
            <a:xfrm>
              <a:off x="3914555" y="3375005"/>
              <a:ext cx="319927" cy="319927"/>
            </a:xfrm>
            <a:prstGeom prst="ellipse">
              <a:avLst/>
            </a:prstGeom>
            <a:grpFill/>
            <a:ln w="38100" cap="flat" cmpd="sng" algn="ctr">
              <a:solidFill>
                <a:srgbClr val="00385C"/>
              </a:solidFill>
              <a:prstDash val="solid"/>
              <a:miter lim="800000"/>
            </a:ln>
            <a:effectLst/>
          </xdr:spPr>
          <xdr:txBody>
            <a:bodyPr wrap="square" rtlCol="0" anchor="ctr"/>
            <a:lstStyle>
              <a:defPPr>
                <a:defRPr lang="sv-S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sv-SE" sz="1400" b="0" i="0" u="none" strike="noStrike" kern="1200" cap="none" spc="0" normalizeH="0" baseline="0" noProof="0">
                <a:ln>
                  <a:noFill/>
                </a:ln>
                <a:solidFill>
                  <a:srgbClr val="000000"/>
                </a:solidFill>
                <a:effectLst/>
                <a:uLnTx/>
                <a:uFillTx/>
                <a:latin typeface="Bauhaus 93" panose="04030905020B02020C02" pitchFamily="82" charset="0"/>
                <a:ea typeface="+mn-ea"/>
                <a:cs typeface="+mn-cs"/>
              </a:endParaRPr>
            </a:p>
          </xdr:txBody>
        </xdr:sp>
        <xdr:sp macro="" textlink="">
          <xdr:nvSpPr>
            <xdr:cNvPr id="93" name="Oval 72">
              <a:extLst>
                <a:ext uri="{FF2B5EF4-FFF2-40B4-BE49-F238E27FC236}">
                  <a16:creationId xmlns:a16="http://schemas.microsoft.com/office/drawing/2014/main" id="{4C6CB971-A0C3-F079-886B-D6AFD3069215}"/>
                </a:ext>
              </a:extLst>
            </xdr:cNvPr>
            <xdr:cNvSpPr/>
          </xdr:nvSpPr>
          <xdr:spPr>
            <a:xfrm>
              <a:off x="3942404" y="3402854"/>
              <a:ext cx="264230" cy="264230"/>
            </a:xfrm>
            <a:prstGeom prst="ellipse">
              <a:avLst/>
            </a:prstGeom>
            <a:grpFill/>
            <a:ln w="38100" cap="flat" cmpd="sng" algn="ctr">
              <a:solidFill>
                <a:srgbClr val="FCFAF7"/>
              </a:solidFill>
              <a:prstDash val="solid"/>
              <a:miter lim="800000"/>
            </a:ln>
            <a:effectLst/>
          </xdr:spPr>
          <xdr:txBody>
            <a:bodyPr wrap="square" rtlCol="0" anchor="ctr"/>
            <a:lstStyle>
              <a:defPPr>
                <a:defRPr lang="sv-S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GB" sz="1400" b="0" i="0" u="none" strike="noStrike" kern="1200" cap="none" spc="0" normalizeH="0" baseline="0" noProof="0">
                  <a:ln>
                    <a:noFill/>
                  </a:ln>
                  <a:solidFill>
                    <a:srgbClr val="00385C"/>
                  </a:solidFill>
                  <a:effectLst/>
                  <a:uLnTx/>
                  <a:uFillTx/>
                  <a:latin typeface="Bauhaus 93" panose="04030905020B02020C02" pitchFamily="82" charset="0"/>
                  <a:ea typeface="+mn-ea"/>
                  <a:cs typeface="+mn-cs"/>
                </a:rPr>
                <a:t>+</a:t>
              </a:r>
              <a:endParaRPr kumimoji="0" lang="sv-SE" sz="1400" b="0" i="0" u="none" strike="noStrike" kern="1200" cap="none" spc="0" normalizeH="0" baseline="0" noProof="0">
                <a:ln>
                  <a:noFill/>
                </a:ln>
                <a:solidFill>
                  <a:srgbClr val="00385C"/>
                </a:solidFill>
                <a:effectLst/>
                <a:uLnTx/>
                <a:uFillTx/>
                <a:latin typeface="Bauhaus 93" panose="04030905020B02020C02" pitchFamily="82" charset="0"/>
                <a:ea typeface="+mn-ea"/>
                <a:cs typeface="+mn-cs"/>
              </a:endParaRPr>
            </a:p>
          </xdr:txBody>
        </xdr:sp>
      </xdr:grpSp>
      <xdr:grpSp>
        <xdr:nvGrpSpPr>
          <xdr:cNvPr id="89" name="Group 68">
            <a:extLst>
              <a:ext uri="{FF2B5EF4-FFF2-40B4-BE49-F238E27FC236}">
                <a16:creationId xmlns:a16="http://schemas.microsoft.com/office/drawing/2014/main" id="{18881E2D-92BB-14E3-5246-6535A1F77A12}"/>
              </a:ext>
            </a:extLst>
          </xdr:cNvPr>
          <xdr:cNvGrpSpPr/>
        </xdr:nvGrpSpPr>
        <xdr:grpSpPr>
          <a:xfrm>
            <a:off x="2561960" y="4123379"/>
            <a:ext cx="144677" cy="144677"/>
            <a:chOff x="3914555" y="3375005"/>
            <a:chExt cx="319927" cy="319927"/>
          </a:xfrm>
          <a:solidFill>
            <a:srgbClr val="FCFAF7"/>
          </a:solidFill>
        </xdr:grpSpPr>
        <xdr:sp macro="" textlink="">
          <xdr:nvSpPr>
            <xdr:cNvPr id="90" name="Oval 69">
              <a:extLst>
                <a:ext uri="{FF2B5EF4-FFF2-40B4-BE49-F238E27FC236}">
                  <a16:creationId xmlns:a16="http://schemas.microsoft.com/office/drawing/2014/main" id="{82CB0E2B-C46B-0ECE-DD20-B28E0C82EB59}"/>
                </a:ext>
              </a:extLst>
            </xdr:cNvPr>
            <xdr:cNvSpPr/>
          </xdr:nvSpPr>
          <xdr:spPr>
            <a:xfrm>
              <a:off x="3914555" y="3375005"/>
              <a:ext cx="319927" cy="319927"/>
            </a:xfrm>
            <a:prstGeom prst="ellipse">
              <a:avLst/>
            </a:prstGeom>
            <a:grpFill/>
            <a:ln w="38100" cap="flat" cmpd="sng" algn="ctr">
              <a:solidFill>
                <a:srgbClr val="00385C"/>
              </a:solidFill>
              <a:prstDash val="solid"/>
              <a:miter lim="800000"/>
            </a:ln>
            <a:effectLst/>
          </xdr:spPr>
          <xdr:txBody>
            <a:bodyPr wrap="square" rtlCol="0" anchor="ctr"/>
            <a:lstStyle>
              <a:defPPr>
                <a:defRPr lang="sv-S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sv-SE" sz="1400" b="0" i="0" u="none" strike="noStrike" kern="1200" cap="none" spc="0" normalizeH="0" baseline="0" noProof="0">
                <a:ln>
                  <a:noFill/>
                </a:ln>
                <a:solidFill>
                  <a:srgbClr val="000000"/>
                </a:solidFill>
                <a:effectLst/>
                <a:uLnTx/>
                <a:uFillTx/>
                <a:latin typeface="Bauhaus 93" panose="04030905020B02020C02" pitchFamily="82" charset="0"/>
                <a:ea typeface="+mn-ea"/>
                <a:cs typeface="+mn-cs"/>
              </a:endParaRPr>
            </a:p>
          </xdr:txBody>
        </xdr:sp>
        <xdr:sp macro="" textlink="">
          <xdr:nvSpPr>
            <xdr:cNvPr id="91" name="Oval 70">
              <a:extLst>
                <a:ext uri="{FF2B5EF4-FFF2-40B4-BE49-F238E27FC236}">
                  <a16:creationId xmlns:a16="http://schemas.microsoft.com/office/drawing/2014/main" id="{AEAC768F-BCA5-D230-9536-0C26C0729DB5}"/>
                </a:ext>
              </a:extLst>
            </xdr:cNvPr>
            <xdr:cNvSpPr/>
          </xdr:nvSpPr>
          <xdr:spPr>
            <a:xfrm>
              <a:off x="3942404" y="3402854"/>
              <a:ext cx="264230" cy="264230"/>
            </a:xfrm>
            <a:prstGeom prst="ellipse">
              <a:avLst/>
            </a:prstGeom>
            <a:grpFill/>
            <a:ln w="38100" cap="flat" cmpd="sng" algn="ctr">
              <a:solidFill>
                <a:srgbClr val="FCFAF7"/>
              </a:solidFill>
              <a:prstDash val="solid"/>
              <a:miter lim="800000"/>
            </a:ln>
            <a:effectLst/>
          </xdr:spPr>
          <xdr:txBody>
            <a:bodyPr wrap="square" rtlCol="0" anchor="ctr"/>
            <a:lstStyle>
              <a:defPPr>
                <a:defRPr lang="sv-S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GB" sz="1400" b="0" i="0" u="none" strike="noStrike" kern="1200" cap="none" spc="0" normalizeH="0" baseline="0" noProof="0">
                  <a:ln>
                    <a:noFill/>
                  </a:ln>
                  <a:solidFill>
                    <a:srgbClr val="00385C"/>
                  </a:solidFill>
                  <a:effectLst/>
                  <a:uLnTx/>
                  <a:uFillTx/>
                  <a:latin typeface="Bauhaus 93" panose="04030905020B02020C02" pitchFamily="82" charset="0"/>
                  <a:ea typeface="+mn-ea"/>
                  <a:cs typeface="+mn-cs"/>
                </a:rPr>
                <a:t>+</a:t>
              </a:r>
              <a:endParaRPr kumimoji="0" lang="sv-SE" sz="1400" b="0" i="0" u="none" strike="noStrike" kern="1200" cap="none" spc="0" normalizeH="0" baseline="0" noProof="0">
                <a:ln>
                  <a:noFill/>
                </a:ln>
                <a:solidFill>
                  <a:srgbClr val="00385C"/>
                </a:solidFill>
                <a:effectLst/>
                <a:uLnTx/>
                <a:uFillTx/>
                <a:latin typeface="Bauhaus 93" panose="04030905020B02020C02" pitchFamily="82" charset="0"/>
                <a:ea typeface="+mn-ea"/>
                <a:cs typeface="+mn-cs"/>
              </a:endParaRPr>
            </a:p>
          </xdr:txBody>
        </xdr:sp>
      </xdr:grpSp>
    </xdr:grp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D5F5-5ABE-41EC-A149-7490E32C3D51}">
  <sheetPr>
    <tabColor rgb="FFEDDDC3"/>
    <pageSetUpPr autoPageBreaks="0"/>
  </sheetPr>
  <dimension ref="B1:T26"/>
  <sheetViews>
    <sheetView showGridLines="0" tabSelected="1" topLeftCell="A5" zoomScale="90" zoomScaleNormal="90" workbookViewId="0">
      <selection activeCell="E20" sqref="E20:F20"/>
    </sheetView>
  </sheetViews>
  <sheetFormatPr defaultColWidth="9.1796875" defaultRowHeight="19" x14ac:dyDescent="0.65"/>
  <cols>
    <col min="1" max="1" width="1.81640625" style="218" customWidth="1"/>
    <col min="2" max="2" width="23" style="218" customWidth="1"/>
    <col min="3" max="3" width="9.1796875" style="218"/>
    <col min="4" max="4" width="10" style="218" customWidth="1"/>
    <col min="5" max="18" width="9.1796875" style="218"/>
    <col min="19" max="19" width="9.1796875" style="218" customWidth="1"/>
    <col min="20" max="20" width="2.26953125" style="218" customWidth="1"/>
    <col min="21" max="16384" width="9.1796875" style="218"/>
  </cols>
  <sheetData>
    <row r="1" spans="2:20" ht="29.25" customHeight="1" x14ac:dyDescent="0.65">
      <c r="B1" s="49" t="e" vm="1">
        <v>#VALUE!</v>
      </c>
    </row>
    <row r="2" spans="2:20" ht="29.25" customHeight="1" x14ac:dyDescent="0.65">
      <c r="B2" s="49"/>
    </row>
    <row r="3" spans="2:20" ht="23" x14ac:dyDescent="0.75">
      <c r="B3" s="250" t="s">
        <v>346</v>
      </c>
      <c r="C3" s="251"/>
      <c r="D3" s="251"/>
      <c r="E3" s="251"/>
      <c r="F3" s="251"/>
      <c r="G3" s="251"/>
      <c r="H3" s="251"/>
      <c r="I3" s="251"/>
      <c r="J3" s="251"/>
      <c r="K3" s="251"/>
      <c r="L3" s="251"/>
      <c r="M3" s="251"/>
      <c r="N3" s="251"/>
      <c r="O3" s="251"/>
      <c r="P3" s="251"/>
      <c r="Q3" s="251"/>
      <c r="R3" s="251"/>
      <c r="S3" s="251"/>
      <c r="T3" s="251"/>
    </row>
    <row r="4" spans="2:20" x14ac:dyDescent="0.65">
      <c r="B4" s="251"/>
      <c r="C4" s="251"/>
      <c r="D4" s="251"/>
      <c r="E4" s="251"/>
      <c r="F4" s="251"/>
      <c r="G4" s="251"/>
      <c r="H4" s="251"/>
      <c r="I4" s="251"/>
      <c r="J4" s="251"/>
      <c r="K4" s="251"/>
      <c r="L4" s="251"/>
      <c r="M4" s="251"/>
      <c r="N4" s="251"/>
      <c r="O4" s="251"/>
      <c r="P4" s="251"/>
      <c r="Q4" s="251"/>
      <c r="R4" s="251"/>
      <c r="S4" s="251"/>
      <c r="T4" s="251"/>
    </row>
    <row r="5" spans="2:20" ht="36" customHeight="1" x14ac:dyDescent="0.65">
      <c r="B5" s="358" t="s">
        <v>347</v>
      </c>
      <c r="C5" s="358"/>
      <c r="D5" s="358"/>
      <c r="E5" s="358"/>
      <c r="F5" s="358"/>
      <c r="G5" s="358"/>
      <c r="H5" s="358"/>
      <c r="I5" s="358"/>
      <c r="J5" s="358"/>
      <c r="K5" s="358"/>
      <c r="L5" s="358"/>
      <c r="M5" s="358"/>
      <c r="N5" s="358"/>
      <c r="O5" s="358"/>
      <c r="P5" s="358"/>
      <c r="Q5" s="358"/>
      <c r="R5" s="358"/>
      <c r="S5" s="358"/>
      <c r="T5" s="251"/>
    </row>
    <row r="6" spans="2:20" ht="6" customHeight="1" x14ac:dyDescent="0.65">
      <c r="B6" s="252"/>
      <c r="C6" s="252"/>
      <c r="D6" s="252"/>
      <c r="E6" s="252"/>
      <c r="F6" s="252"/>
      <c r="G6" s="252"/>
      <c r="H6" s="252"/>
      <c r="I6" s="252"/>
      <c r="J6" s="252"/>
      <c r="K6" s="252"/>
      <c r="L6" s="252"/>
      <c r="M6" s="252"/>
      <c r="N6" s="252"/>
      <c r="O6" s="252"/>
      <c r="P6" s="252"/>
      <c r="Q6" s="252"/>
      <c r="R6" s="252"/>
      <c r="S6" s="252"/>
      <c r="T6" s="251"/>
    </row>
    <row r="7" spans="2:20" x14ac:dyDescent="0.65">
      <c r="B7" s="253" t="s">
        <v>348</v>
      </c>
      <c r="C7" s="251"/>
      <c r="D7" s="251"/>
      <c r="E7" s="251"/>
      <c r="F7" s="251"/>
      <c r="G7" s="251"/>
      <c r="H7" s="251"/>
      <c r="I7" s="251"/>
      <c r="J7" s="251"/>
      <c r="K7" s="251"/>
      <c r="L7" s="251"/>
      <c r="M7" s="251"/>
      <c r="N7" s="251"/>
      <c r="O7" s="251"/>
      <c r="P7" s="251"/>
      <c r="Q7" s="251"/>
      <c r="R7" s="251"/>
      <c r="S7" s="251"/>
      <c r="T7" s="251"/>
    </row>
    <row r="8" spans="2:20" ht="78.75" customHeight="1" x14ac:dyDescent="0.65">
      <c r="B8" s="359" t="s">
        <v>362</v>
      </c>
      <c r="C8" s="359"/>
      <c r="D8" s="359"/>
      <c r="E8" s="359"/>
      <c r="F8" s="359"/>
      <c r="G8" s="359"/>
      <c r="H8" s="359"/>
      <c r="I8" s="359"/>
      <c r="J8" s="359"/>
      <c r="K8" s="359"/>
      <c r="L8" s="359"/>
      <c r="M8" s="359"/>
      <c r="N8" s="359"/>
      <c r="O8" s="359"/>
      <c r="P8" s="359"/>
      <c r="Q8" s="359"/>
      <c r="R8" s="359"/>
      <c r="S8" s="359"/>
      <c r="T8" s="251"/>
    </row>
    <row r="9" spans="2:20" ht="6.75" customHeight="1" x14ac:dyDescent="0.65">
      <c r="B9" s="251"/>
      <c r="C9" s="251"/>
      <c r="D9" s="251"/>
      <c r="E9" s="251"/>
      <c r="F9" s="251"/>
      <c r="G9" s="251"/>
      <c r="H9" s="251"/>
      <c r="I9" s="251"/>
      <c r="J9" s="251"/>
      <c r="K9" s="251"/>
      <c r="L9" s="251"/>
      <c r="M9" s="251"/>
      <c r="N9" s="251"/>
      <c r="O9" s="251"/>
      <c r="P9" s="251"/>
      <c r="Q9" s="251"/>
      <c r="R9" s="251"/>
      <c r="S9" s="251"/>
      <c r="T9" s="251"/>
    </row>
    <row r="10" spans="2:20" x14ac:dyDescent="0.65">
      <c r="B10" s="253" t="s">
        <v>349</v>
      </c>
      <c r="C10" s="251"/>
      <c r="D10" s="251"/>
      <c r="E10" s="251"/>
      <c r="F10" s="251"/>
      <c r="G10" s="251"/>
      <c r="H10" s="251"/>
      <c r="I10" s="251"/>
      <c r="J10" s="251"/>
      <c r="K10" s="251"/>
      <c r="L10" s="251"/>
      <c r="M10" s="251"/>
      <c r="N10" s="251"/>
      <c r="O10" s="251"/>
      <c r="P10" s="251"/>
      <c r="Q10" s="251"/>
      <c r="R10" s="251"/>
      <c r="S10" s="251"/>
      <c r="T10" s="251"/>
    </row>
    <row r="11" spans="2:20" ht="57.75" customHeight="1" x14ac:dyDescent="0.65">
      <c r="B11" s="239" t="s">
        <v>350</v>
      </c>
      <c r="C11" s="240"/>
      <c r="D11" s="240"/>
      <c r="E11" s="241"/>
      <c r="F11" s="361" t="s">
        <v>369</v>
      </c>
      <c r="G11" s="362"/>
      <c r="H11" s="362"/>
      <c r="I11" s="362"/>
      <c r="J11" s="362"/>
      <c r="K11" s="362"/>
      <c r="L11" s="362"/>
      <c r="M11" s="362"/>
      <c r="N11" s="362"/>
      <c r="O11" s="362"/>
      <c r="P11" s="362"/>
      <c r="Q11" s="362"/>
      <c r="R11" s="362"/>
      <c r="S11" s="362"/>
      <c r="T11" s="251"/>
    </row>
    <row r="12" spans="2:20" ht="60.75" customHeight="1" x14ac:dyDescent="0.65">
      <c r="B12" s="239" t="s">
        <v>354</v>
      </c>
      <c r="C12" s="240"/>
      <c r="D12" s="240"/>
      <c r="E12" s="241"/>
      <c r="F12" s="361" t="s">
        <v>363</v>
      </c>
      <c r="G12" s="362"/>
      <c r="H12" s="362"/>
      <c r="I12" s="362"/>
      <c r="J12" s="362"/>
      <c r="K12" s="362"/>
      <c r="L12" s="362"/>
      <c r="M12" s="362"/>
      <c r="N12" s="362"/>
      <c r="O12" s="362"/>
      <c r="P12" s="362"/>
      <c r="Q12" s="362"/>
      <c r="R12" s="362"/>
      <c r="S12" s="362"/>
      <c r="T12" s="251"/>
    </row>
    <row r="13" spans="2:20" x14ac:dyDescent="0.65">
      <c r="B13" s="242" t="s">
        <v>205</v>
      </c>
      <c r="C13" s="243"/>
      <c r="D13" s="243"/>
      <c r="E13" s="244"/>
      <c r="F13" s="254" t="s">
        <v>356</v>
      </c>
      <c r="G13" s="254"/>
      <c r="H13" s="254"/>
      <c r="I13" s="254"/>
      <c r="J13" s="254"/>
      <c r="K13" s="254"/>
      <c r="L13" s="254"/>
      <c r="M13" s="254"/>
      <c r="N13" s="254"/>
      <c r="O13" s="254"/>
      <c r="P13" s="254"/>
      <c r="Q13" s="254"/>
      <c r="R13" s="254"/>
      <c r="S13" s="254"/>
      <c r="T13" s="251"/>
    </row>
    <row r="14" spans="2:20" x14ac:dyDescent="0.65">
      <c r="B14" s="242" t="s">
        <v>206</v>
      </c>
      <c r="C14" s="243"/>
      <c r="D14" s="243"/>
      <c r="E14" s="244"/>
      <c r="F14" s="254" t="s">
        <v>357</v>
      </c>
      <c r="G14" s="254"/>
      <c r="H14" s="254"/>
      <c r="I14" s="254"/>
      <c r="J14" s="254"/>
      <c r="K14" s="254"/>
      <c r="L14" s="254"/>
      <c r="M14" s="254"/>
      <c r="N14" s="254"/>
      <c r="O14" s="254"/>
      <c r="P14" s="254"/>
      <c r="Q14" s="254"/>
      <c r="R14" s="254"/>
      <c r="S14" s="254"/>
      <c r="T14" s="251"/>
    </row>
    <row r="15" spans="2:20" ht="39" customHeight="1" x14ac:dyDescent="0.65">
      <c r="B15" s="255" t="s">
        <v>355</v>
      </c>
      <c r="C15" s="245"/>
      <c r="D15" s="245"/>
      <c r="E15" s="246"/>
      <c r="F15" s="361" t="s">
        <v>364</v>
      </c>
      <c r="G15" s="362"/>
      <c r="H15" s="362"/>
      <c r="I15" s="362"/>
      <c r="J15" s="362"/>
      <c r="K15" s="362"/>
      <c r="L15" s="362"/>
      <c r="M15" s="362"/>
      <c r="N15" s="362"/>
      <c r="O15" s="362"/>
      <c r="P15" s="362"/>
      <c r="Q15" s="362"/>
      <c r="R15" s="362"/>
      <c r="S15" s="362"/>
      <c r="T15" s="251"/>
    </row>
    <row r="16" spans="2:20" x14ac:dyDescent="0.65">
      <c r="B16" s="247" t="s">
        <v>228</v>
      </c>
      <c r="C16" s="248"/>
      <c r="D16" s="248"/>
      <c r="E16" s="249"/>
      <c r="F16" s="254" t="s">
        <v>358</v>
      </c>
      <c r="G16" s="254"/>
      <c r="H16" s="254"/>
      <c r="I16" s="254"/>
      <c r="J16" s="254"/>
      <c r="K16" s="254"/>
      <c r="L16" s="254"/>
      <c r="M16" s="254"/>
      <c r="N16" s="254"/>
      <c r="O16" s="254"/>
      <c r="P16" s="254"/>
      <c r="Q16" s="254"/>
      <c r="R16" s="254"/>
      <c r="S16" s="254"/>
      <c r="T16" s="251"/>
    </row>
    <row r="17" spans="2:20" x14ac:dyDescent="0.65">
      <c r="B17" s="247" t="s">
        <v>227</v>
      </c>
      <c r="C17" s="248"/>
      <c r="D17" s="248"/>
      <c r="E17" s="249"/>
      <c r="F17" s="254" t="s">
        <v>359</v>
      </c>
      <c r="G17" s="254"/>
      <c r="H17" s="254"/>
      <c r="I17" s="254"/>
      <c r="J17" s="254"/>
      <c r="K17" s="254"/>
      <c r="L17" s="254"/>
      <c r="M17" s="254"/>
      <c r="N17" s="254"/>
      <c r="O17" s="254"/>
      <c r="P17" s="254"/>
      <c r="Q17" s="254"/>
      <c r="R17" s="254"/>
      <c r="S17" s="254"/>
      <c r="T17" s="251"/>
    </row>
    <row r="18" spans="2:20" ht="8.25" customHeight="1" x14ac:dyDescent="0.65">
      <c r="B18" s="251"/>
      <c r="C18" s="251"/>
      <c r="D18" s="251"/>
      <c r="E18" s="251"/>
      <c r="F18" s="251"/>
      <c r="G18" s="251"/>
      <c r="H18" s="251"/>
      <c r="I18" s="251"/>
      <c r="J18" s="251"/>
      <c r="K18" s="251"/>
      <c r="L18" s="251"/>
      <c r="M18" s="251"/>
      <c r="N18" s="251"/>
      <c r="O18" s="251"/>
      <c r="P18" s="251"/>
      <c r="Q18" s="251"/>
      <c r="R18" s="251"/>
      <c r="S18" s="251"/>
      <c r="T18" s="251"/>
    </row>
    <row r="19" spans="2:20" x14ac:dyDescent="0.65">
      <c r="B19" s="253" t="s">
        <v>351</v>
      </c>
      <c r="C19" s="251"/>
      <c r="D19" s="251"/>
      <c r="E19" s="251"/>
      <c r="F19" s="251"/>
      <c r="G19" s="251"/>
      <c r="H19" s="251"/>
      <c r="I19" s="251"/>
      <c r="J19" s="251"/>
      <c r="K19" s="251"/>
      <c r="L19" s="251"/>
      <c r="M19" s="251"/>
      <c r="N19" s="251"/>
      <c r="O19" s="251"/>
      <c r="P19" s="251"/>
      <c r="Q19" s="251"/>
      <c r="R19" s="251"/>
      <c r="S19" s="251"/>
      <c r="T19" s="251"/>
    </row>
    <row r="20" spans="2:20" x14ac:dyDescent="0.65">
      <c r="B20" s="251" t="s">
        <v>360</v>
      </c>
      <c r="C20" s="251"/>
      <c r="D20" s="251"/>
      <c r="E20" s="363" t="s">
        <v>2</v>
      </c>
      <c r="F20" s="363"/>
      <c r="G20" s="251" t="s">
        <v>361</v>
      </c>
      <c r="H20" s="251"/>
      <c r="I20" s="251"/>
      <c r="J20" s="251"/>
      <c r="K20" s="251"/>
      <c r="L20" s="251"/>
      <c r="M20" s="251"/>
      <c r="N20" s="251"/>
      <c r="O20" s="251"/>
      <c r="P20" s="251"/>
      <c r="Q20" s="251"/>
      <c r="R20" s="251"/>
      <c r="S20" s="251"/>
      <c r="T20" s="251"/>
    </row>
    <row r="21" spans="2:20" x14ac:dyDescent="0.65">
      <c r="B21" s="251" t="s">
        <v>352</v>
      </c>
      <c r="C21" s="251"/>
      <c r="D21" s="251"/>
      <c r="E21" s="251"/>
      <c r="F21" s="251"/>
      <c r="G21" s="251"/>
      <c r="H21" s="251"/>
      <c r="I21" s="251"/>
      <c r="J21" s="251"/>
      <c r="K21" s="251"/>
      <c r="L21" s="251"/>
      <c r="M21" s="251"/>
      <c r="N21" s="251"/>
      <c r="O21" s="251"/>
      <c r="P21" s="251"/>
      <c r="Q21" s="251"/>
      <c r="R21" s="251"/>
      <c r="S21" s="251"/>
      <c r="T21" s="251"/>
    </row>
    <row r="22" spans="2:20" x14ac:dyDescent="0.65">
      <c r="B22" s="251" t="s">
        <v>365</v>
      </c>
      <c r="C22" s="251"/>
      <c r="D22" s="251"/>
      <c r="E22" s="251"/>
      <c r="F22" s="251"/>
      <c r="G22" s="251"/>
      <c r="H22" s="251"/>
      <c r="I22" s="251"/>
      <c r="J22" s="251"/>
      <c r="K22" s="251"/>
      <c r="L22" s="251"/>
      <c r="M22" s="251"/>
      <c r="N22" s="251"/>
      <c r="O22" s="251"/>
      <c r="P22" s="251"/>
      <c r="Q22" s="251"/>
      <c r="R22" s="251"/>
      <c r="S22" s="251"/>
      <c r="T22" s="251"/>
    </row>
    <row r="23" spans="2:20" x14ac:dyDescent="0.65">
      <c r="B23" s="251" t="s">
        <v>366</v>
      </c>
      <c r="C23" s="251"/>
      <c r="D23" s="251"/>
      <c r="E23" s="251"/>
      <c r="F23" s="251"/>
      <c r="G23" s="251"/>
      <c r="H23" s="251"/>
      <c r="I23" s="251"/>
      <c r="J23" s="251"/>
      <c r="K23" s="251"/>
      <c r="L23" s="251"/>
      <c r="M23" s="251"/>
      <c r="N23" s="251"/>
      <c r="O23" s="251"/>
      <c r="P23" s="251"/>
      <c r="Q23" s="251"/>
      <c r="R23" s="251"/>
      <c r="S23" s="251"/>
      <c r="T23" s="251"/>
    </row>
    <row r="24" spans="2:20" ht="5.25" customHeight="1" x14ac:dyDescent="0.65">
      <c r="B24" s="251"/>
      <c r="C24" s="251"/>
      <c r="D24" s="251"/>
      <c r="E24" s="251"/>
      <c r="F24" s="251"/>
      <c r="G24" s="251"/>
      <c r="H24" s="251"/>
      <c r="I24" s="251"/>
      <c r="J24" s="251"/>
      <c r="K24" s="251"/>
      <c r="L24" s="251"/>
      <c r="M24" s="251"/>
      <c r="N24" s="251"/>
      <c r="O24" s="251"/>
      <c r="P24" s="251"/>
      <c r="Q24" s="251"/>
      <c r="R24" s="251"/>
      <c r="S24" s="251"/>
      <c r="T24" s="251"/>
    </row>
    <row r="25" spans="2:20" x14ac:dyDescent="0.65">
      <c r="B25" s="253" t="s">
        <v>353</v>
      </c>
      <c r="C25" s="251"/>
      <c r="D25" s="251"/>
      <c r="E25" s="251"/>
      <c r="F25" s="251"/>
      <c r="G25" s="251"/>
      <c r="H25" s="251"/>
      <c r="I25" s="251"/>
      <c r="J25" s="251"/>
      <c r="K25" s="251"/>
      <c r="L25" s="251"/>
      <c r="M25" s="251"/>
      <c r="N25" s="251"/>
      <c r="O25" s="251"/>
      <c r="P25" s="251"/>
      <c r="Q25" s="251"/>
      <c r="R25" s="251"/>
      <c r="S25" s="251"/>
      <c r="T25" s="251"/>
    </row>
    <row r="26" spans="2:20" ht="41.25" customHeight="1" x14ac:dyDescent="0.65">
      <c r="B26" s="360" t="s">
        <v>367</v>
      </c>
      <c r="C26" s="360"/>
      <c r="D26" s="360"/>
      <c r="E26" s="360"/>
      <c r="F26" s="360"/>
      <c r="G26" s="360"/>
      <c r="H26" s="360"/>
      <c r="I26" s="360"/>
      <c r="J26" s="360"/>
      <c r="K26" s="360"/>
      <c r="L26" s="360"/>
      <c r="M26" s="360"/>
      <c r="N26" s="360"/>
      <c r="O26" s="360"/>
      <c r="P26" s="360"/>
      <c r="Q26" s="360"/>
      <c r="R26" s="360"/>
      <c r="S26" s="360"/>
      <c r="T26" s="251"/>
    </row>
  </sheetData>
  <sheetProtection algorithmName="SHA-512" hashValue="5mLcgMhn/j3emZm1FcIkIpIrtCkhhmUvAFvnWcjidrSJmrarlDuKAD/3OeKaFHNlRwSdYTR1Loam2PkqJA/s3w==" saltValue="bfSpDM8IhV5TGRiWNIr4aQ==" spinCount="100000" sheet="1" objects="1" scenarios="1" selectLockedCells="1"/>
  <mergeCells count="7">
    <mergeCell ref="B5:S5"/>
    <mergeCell ref="B8:S8"/>
    <mergeCell ref="B26:S26"/>
    <mergeCell ref="F11:S11"/>
    <mergeCell ref="F12:S12"/>
    <mergeCell ref="F15:S15"/>
    <mergeCell ref="E20:F20"/>
  </mergeCells>
  <hyperlinks>
    <hyperlink ref="B11" location="'Översikt - Målsatta mått'!A1" display="Översikt - Målsatta mått" xr:uid="{E5EB5AF8-A51B-45F7-81B0-37317DB5F340}"/>
    <hyperlink ref="B12" location="'Översikt - Vårdplatspotential'!A1" display="Översikt - Vårdplatspotential" xr:uid="{21D6B061-4296-411C-8323-F71F0F71FAB0}"/>
    <hyperlink ref="B13" location="Kapacitetsmått!A1" display="Kapacitetsmått" xr:uid="{847EADD7-C72D-4AE0-B4FD-DAC0229F70EE}"/>
    <hyperlink ref="B14" location="Behovsmått!A1" display="Behovsmått" xr:uid="{BC144F70-AAF2-4C20-82E8-9D1CFE755B61}"/>
    <hyperlink ref="B15" location="'Scenario - Egna målnivåer'!A1" display="Scenario - Egna målnivåer" xr:uid="{034181C2-9882-4291-82F0-D66382F9BF4E}"/>
    <hyperlink ref="B16" location="'Ej målsatta mått'!A1" display="Ej målsatta mått" xr:uid="{E5CAF9B5-5DAB-4FB8-A4E3-D51D1E6E8E0F}"/>
    <hyperlink ref="B17" location="Utvecklingsmått!A1" display="Utvecklingsmått" xr:uid="{1E1AF166-CB34-4AB6-BCBC-19FD7261C0EF}"/>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776E000-48E7-45BE-BFD4-9FD3D85B6198}">
          <x14:formula1>
            <xm:f>Stödfil!$B$10:$B$30</xm:f>
          </x14:formula1>
          <xm:sqref>E20:F20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21D2B-7BCA-45D6-B6CC-E687F6A06B2D}">
  <sheetPr>
    <tabColor rgb="FFF8F2E8"/>
  </sheetPr>
  <dimension ref="B1:T21"/>
  <sheetViews>
    <sheetView topLeftCell="A7" workbookViewId="0">
      <selection activeCell="F7" sqref="F7"/>
    </sheetView>
  </sheetViews>
  <sheetFormatPr defaultColWidth="8.453125" defaultRowHeight="10.5" x14ac:dyDescent="0.25"/>
  <cols>
    <col min="1" max="1" width="1.453125" style="49" customWidth="1"/>
    <col min="2" max="2" width="31" style="49" customWidth="1"/>
    <col min="3" max="3" width="1.1796875" style="49" customWidth="1"/>
    <col min="4" max="4" width="48.1796875" style="49" customWidth="1"/>
    <col min="5" max="5" width="1.1796875" style="49" customWidth="1"/>
    <col min="6" max="6" width="61.453125" style="49" customWidth="1"/>
    <col min="7" max="16384" width="8.453125" style="49"/>
  </cols>
  <sheetData>
    <row r="1" spans="2:20" ht="27" customHeight="1" x14ac:dyDescent="0.25">
      <c r="B1" s="49" t="e" vm="1">
        <v>#VALUE!</v>
      </c>
    </row>
    <row r="3" spans="2:20" ht="16.5" x14ac:dyDescent="0.55000000000000004">
      <c r="B3" s="131" t="s">
        <v>254</v>
      </c>
      <c r="C3" s="131"/>
      <c r="D3" s="131"/>
      <c r="E3" s="131"/>
      <c r="F3" s="131"/>
      <c r="P3" s="138"/>
      <c r="Q3" s="138"/>
      <c r="R3" s="138"/>
      <c r="S3" s="138"/>
      <c r="T3" s="138"/>
    </row>
    <row r="4" spans="2:20" ht="35.5" customHeight="1" x14ac:dyDescent="0.25">
      <c r="B4" s="435" t="s">
        <v>255</v>
      </c>
      <c r="C4" s="435"/>
      <c r="D4" s="435"/>
      <c r="E4" s="435"/>
      <c r="F4" s="435"/>
      <c r="G4" s="138"/>
      <c r="H4" s="138"/>
      <c r="I4" s="138"/>
      <c r="J4" s="138"/>
      <c r="K4" s="138"/>
      <c r="L4" s="138"/>
      <c r="M4" s="138"/>
      <c r="N4" s="138"/>
      <c r="O4" s="138"/>
      <c r="P4" s="138"/>
      <c r="Q4" s="138"/>
      <c r="R4" s="138"/>
      <c r="S4" s="138"/>
      <c r="T4" s="138"/>
    </row>
    <row r="5" spans="2:20" ht="13.5" x14ac:dyDescent="0.45">
      <c r="B5" s="127" t="s">
        <v>83</v>
      </c>
      <c r="D5" s="127" t="s">
        <v>227</v>
      </c>
      <c r="E5" s="130"/>
      <c r="F5" s="127" t="s">
        <v>225</v>
      </c>
    </row>
    <row r="6" spans="2:20" ht="54" x14ac:dyDescent="0.45">
      <c r="B6" s="433" t="s">
        <v>142</v>
      </c>
      <c r="D6" s="325" t="s">
        <v>229</v>
      </c>
      <c r="E6" s="102"/>
      <c r="F6" s="325" t="s">
        <v>230</v>
      </c>
      <c r="G6" s="102"/>
      <c r="H6" s="102"/>
      <c r="I6" s="102"/>
      <c r="J6" s="102"/>
      <c r="K6" s="102"/>
      <c r="L6" s="102"/>
      <c r="M6" s="102"/>
      <c r="N6" s="102"/>
      <c r="O6" s="102"/>
      <c r="P6" s="102"/>
      <c r="Q6" s="102"/>
      <c r="R6" s="102"/>
    </row>
    <row r="7" spans="2:20" ht="94.5" x14ac:dyDescent="0.45">
      <c r="B7" s="433"/>
      <c r="D7" s="326" t="s">
        <v>231</v>
      </c>
      <c r="E7" s="102"/>
      <c r="F7" s="326" t="s">
        <v>232</v>
      </c>
      <c r="G7" s="102"/>
      <c r="H7" s="102"/>
      <c r="I7" s="102"/>
      <c r="J7" s="102"/>
      <c r="K7" s="102"/>
      <c r="L7" s="102"/>
      <c r="M7" s="102"/>
      <c r="N7" s="102"/>
      <c r="O7" s="102"/>
      <c r="P7" s="102"/>
      <c r="Q7" s="102"/>
      <c r="R7" s="102"/>
    </row>
    <row r="8" spans="2:20" ht="13.5" x14ac:dyDescent="0.45">
      <c r="B8" s="50"/>
      <c r="D8" s="138"/>
      <c r="E8" s="102"/>
      <c r="F8" s="138"/>
      <c r="G8" s="102"/>
      <c r="H8" s="102"/>
      <c r="I8" s="102"/>
      <c r="J8" s="102"/>
      <c r="K8" s="102"/>
      <c r="L8" s="102"/>
      <c r="M8" s="102"/>
      <c r="N8" s="102"/>
      <c r="O8" s="102"/>
      <c r="P8" s="102"/>
      <c r="Q8" s="102"/>
      <c r="R8" s="102"/>
    </row>
    <row r="9" spans="2:20" ht="40.5" x14ac:dyDescent="0.45">
      <c r="B9" s="433" t="s">
        <v>90</v>
      </c>
      <c r="D9" s="325" t="s">
        <v>236</v>
      </c>
      <c r="E9" s="102"/>
      <c r="F9" s="325" t="s">
        <v>237</v>
      </c>
      <c r="G9" s="102"/>
      <c r="H9" s="102"/>
      <c r="I9" s="102"/>
      <c r="J9" s="102"/>
      <c r="K9" s="102"/>
      <c r="L9" s="102"/>
      <c r="M9" s="102"/>
      <c r="N9" s="102"/>
      <c r="O9" s="102"/>
      <c r="P9" s="102"/>
      <c r="Q9" s="102"/>
      <c r="R9" s="102"/>
    </row>
    <row r="10" spans="2:20" ht="27" x14ac:dyDescent="0.45">
      <c r="B10" s="433"/>
      <c r="D10" s="326" t="s">
        <v>238</v>
      </c>
      <c r="E10" s="102"/>
      <c r="F10" s="326" t="s">
        <v>376</v>
      </c>
      <c r="G10" s="102"/>
      <c r="H10" s="102"/>
      <c r="I10" s="102"/>
      <c r="J10" s="102"/>
      <c r="K10" s="102"/>
      <c r="L10" s="102"/>
      <c r="M10" s="102"/>
      <c r="N10" s="102"/>
      <c r="O10" s="102"/>
      <c r="P10" s="102"/>
      <c r="Q10" s="102"/>
      <c r="R10" s="102"/>
    </row>
    <row r="11" spans="2:20" ht="40.5" x14ac:dyDescent="0.45">
      <c r="B11" s="324"/>
      <c r="D11" s="325" t="s">
        <v>239</v>
      </c>
      <c r="E11" s="102"/>
      <c r="F11" s="325" t="s">
        <v>377</v>
      </c>
      <c r="G11" s="102"/>
      <c r="H11" s="102"/>
      <c r="I11" s="102"/>
      <c r="J11" s="102"/>
      <c r="K11" s="102"/>
      <c r="L11" s="102"/>
      <c r="M11" s="102"/>
      <c r="N11" s="102"/>
      <c r="O11" s="102"/>
      <c r="P11" s="102"/>
      <c r="Q11" s="102"/>
      <c r="R11" s="102"/>
    </row>
    <row r="12" spans="2:20" ht="13.5" x14ac:dyDescent="0.45">
      <c r="B12" s="50"/>
      <c r="D12" s="138"/>
      <c r="E12" s="102"/>
      <c r="F12" s="138"/>
      <c r="G12" s="102"/>
      <c r="H12" s="102"/>
      <c r="I12" s="102"/>
      <c r="J12" s="102"/>
      <c r="K12" s="102"/>
      <c r="L12" s="102"/>
      <c r="M12" s="102"/>
      <c r="N12" s="102"/>
      <c r="O12" s="102"/>
      <c r="P12" s="102"/>
      <c r="Q12" s="102"/>
      <c r="R12" s="102"/>
    </row>
    <row r="13" spans="2:20" ht="13.5" x14ac:dyDescent="0.45">
      <c r="B13" s="433" t="s">
        <v>91</v>
      </c>
      <c r="D13" s="325" t="s">
        <v>251</v>
      </c>
      <c r="E13" s="102"/>
      <c r="F13" s="325" t="s">
        <v>378</v>
      </c>
      <c r="G13" s="102"/>
      <c r="H13" s="102"/>
      <c r="I13" s="102"/>
      <c r="J13" s="102"/>
      <c r="K13" s="102"/>
      <c r="L13" s="102"/>
      <c r="M13" s="102"/>
      <c r="N13" s="102"/>
      <c r="O13" s="102"/>
      <c r="P13" s="102"/>
      <c r="Q13" s="102"/>
      <c r="R13" s="102"/>
    </row>
    <row r="14" spans="2:20" ht="54" x14ac:dyDescent="0.45">
      <c r="B14" s="433"/>
      <c r="D14" s="325" t="s">
        <v>241</v>
      </c>
      <c r="E14" s="102"/>
      <c r="F14" s="325" t="s">
        <v>383</v>
      </c>
      <c r="G14" s="102"/>
      <c r="H14" s="102"/>
      <c r="I14" s="102"/>
      <c r="J14" s="102"/>
      <c r="K14" s="102"/>
      <c r="L14" s="102"/>
      <c r="M14" s="102"/>
      <c r="N14" s="102"/>
      <c r="O14" s="102"/>
      <c r="P14" s="102"/>
      <c r="Q14" s="102"/>
      <c r="R14" s="102"/>
    </row>
    <row r="15" spans="2:20" ht="13.5" x14ac:dyDescent="0.45">
      <c r="B15" s="102"/>
      <c r="D15" s="138"/>
      <c r="E15" s="102"/>
      <c r="F15" s="138"/>
      <c r="G15" s="102"/>
      <c r="H15" s="102"/>
      <c r="I15" s="102"/>
      <c r="J15" s="102"/>
      <c r="K15" s="102"/>
      <c r="L15" s="102"/>
      <c r="M15" s="102"/>
      <c r="N15" s="102"/>
      <c r="O15" s="102"/>
      <c r="P15" s="102"/>
      <c r="Q15" s="102"/>
      <c r="R15" s="102"/>
    </row>
    <row r="16" spans="2:20" ht="40.5" x14ac:dyDescent="0.45">
      <c r="B16" s="433" t="s">
        <v>100</v>
      </c>
      <c r="D16" s="325" t="s">
        <v>244</v>
      </c>
      <c r="E16" s="102"/>
      <c r="F16" s="325" t="s">
        <v>245</v>
      </c>
      <c r="G16" s="102"/>
      <c r="H16" s="102"/>
      <c r="I16" s="102"/>
      <c r="J16" s="102"/>
      <c r="K16" s="102"/>
      <c r="L16" s="102"/>
      <c r="M16" s="102"/>
      <c r="N16" s="102"/>
      <c r="O16" s="102"/>
      <c r="P16" s="102"/>
      <c r="Q16" s="102"/>
      <c r="R16" s="102"/>
    </row>
    <row r="17" spans="2:18" ht="40.5" x14ac:dyDescent="0.45">
      <c r="B17" s="433"/>
      <c r="D17" s="325" t="s">
        <v>246</v>
      </c>
      <c r="E17" s="102"/>
      <c r="F17" s="325" t="s">
        <v>247</v>
      </c>
      <c r="G17" s="102"/>
      <c r="H17" s="102"/>
      <c r="I17" s="102"/>
      <c r="J17" s="102"/>
      <c r="K17" s="102"/>
      <c r="L17" s="102"/>
      <c r="M17" s="102"/>
      <c r="N17" s="102"/>
      <c r="O17" s="102"/>
      <c r="P17" s="102"/>
      <c r="Q17" s="102"/>
      <c r="R17" s="102"/>
    </row>
    <row r="18" spans="2:18" ht="13.5" x14ac:dyDescent="0.45">
      <c r="D18" s="102"/>
      <c r="E18" s="102"/>
      <c r="F18" s="102"/>
      <c r="G18" s="102"/>
      <c r="H18" s="102"/>
      <c r="I18" s="102"/>
      <c r="J18" s="102"/>
      <c r="K18" s="102"/>
      <c r="L18" s="102"/>
      <c r="M18" s="102"/>
      <c r="N18" s="102"/>
      <c r="O18" s="102"/>
      <c r="P18" s="102"/>
      <c r="Q18" s="102"/>
      <c r="R18" s="102"/>
    </row>
    <row r="19" spans="2:18" ht="13.5" x14ac:dyDescent="0.45">
      <c r="D19" s="102"/>
      <c r="E19" s="102"/>
      <c r="F19" s="102"/>
      <c r="G19" s="102"/>
      <c r="H19" s="102"/>
      <c r="I19" s="102"/>
      <c r="J19" s="102"/>
      <c r="K19" s="102"/>
      <c r="L19" s="102"/>
      <c r="M19" s="102"/>
      <c r="N19" s="102"/>
      <c r="O19" s="102"/>
      <c r="P19" s="102"/>
      <c r="Q19" s="102"/>
      <c r="R19" s="102"/>
    </row>
    <row r="20" spans="2:18" ht="13.5" x14ac:dyDescent="0.45">
      <c r="D20" s="102"/>
      <c r="E20" s="102"/>
      <c r="F20" s="102"/>
      <c r="G20" s="102"/>
      <c r="H20" s="102"/>
      <c r="I20" s="102"/>
      <c r="J20" s="102"/>
      <c r="K20" s="102"/>
      <c r="L20" s="102"/>
      <c r="M20" s="102"/>
      <c r="N20" s="102"/>
      <c r="O20" s="102"/>
      <c r="P20" s="102"/>
      <c r="Q20" s="102"/>
      <c r="R20" s="102"/>
    </row>
    <row r="21" spans="2:18" ht="13.5" x14ac:dyDescent="0.45">
      <c r="D21" s="102"/>
      <c r="E21" s="102"/>
      <c r="F21" s="102"/>
      <c r="G21" s="102"/>
      <c r="H21" s="102"/>
      <c r="I21" s="102"/>
      <c r="J21" s="102"/>
      <c r="K21" s="102"/>
      <c r="L21" s="102"/>
      <c r="M21" s="102"/>
      <c r="N21" s="102"/>
      <c r="O21" s="102"/>
      <c r="P21" s="102"/>
      <c r="Q21" s="102"/>
      <c r="R21" s="102"/>
    </row>
  </sheetData>
  <sheetProtection algorithmName="SHA-512" hashValue="/vHlfo8nxbu/x32u4tDQ/1no6Mo2IPfXXFzrEdcrFyQJe851x8V0gOyReb3cppeAHzp+NeJUmiUN0Wsxk4W+cQ==" saltValue="hq7CoYQjMKagMqap+s04Vw==" spinCount="100000" sheet="1" objects="1" scenarios="1"/>
  <mergeCells count="5">
    <mergeCell ref="B6:B7"/>
    <mergeCell ref="B16:B17"/>
    <mergeCell ref="B13:B14"/>
    <mergeCell ref="B4:F4"/>
    <mergeCell ref="B9:B1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23BC7-D017-42FE-A37A-82B56C3708D3}">
  <dimension ref="B2:R56"/>
  <sheetViews>
    <sheetView zoomScale="119" zoomScaleNormal="130" workbookViewId="0">
      <selection activeCell="J3" sqref="J3"/>
    </sheetView>
  </sheetViews>
  <sheetFormatPr defaultColWidth="8.453125" defaultRowHeight="10.5" x14ac:dyDescent="0.25"/>
  <cols>
    <col min="1" max="1" width="2.1796875" style="1" customWidth="1"/>
    <col min="2" max="16384" width="8.453125" style="1"/>
  </cols>
  <sheetData>
    <row r="2" spans="2:10" x14ac:dyDescent="0.25">
      <c r="B2" s="1" t="s">
        <v>78</v>
      </c>
    </row>
    <row r="3" spans="2:10" x14ac:dyDescent="0.25">
      <c r="B3" s="1" t="s">
        <v>79</v>
      </c>
      <c r="I3" s="1" t="s">
        <v>80</v>
      </c>
      <c r="J3" s="1" t="s">
        <v>13</v>
      </c>
    </row>
    <row r="9" spans="2:10" ht="11.5" x14ac:dyDescent="0.3">
      <c r="B9" s="1" t="s">
        <v>46</v>
      </c>
      <c r="E9" s="2"/>
      <c r="F9" s="2"/>
    </row>
    <row r="10" spans="2:10" x14ac:dyDescent="0.25">
      <c r="B10" s="1" t="s">
        <v>1</v>
      </c>
      <c r="C10" s="4"/>
    </row>
    <row r="11" spans="2:10" x14ac:dyDescent="0.25">
      <c r="B11" s="1" t="s">
        <v>2</v>
      </c>
      <c r="C11" s="4"/>
    </row>
    <row r="12" spans="2:10" x14ac:dyDescent="0.25">
      <c r="B12" s="1" t="s">
        <v>3</v>
      </c>
      <c r="C12" s="4"/>
    </row>
    <row r="13" spans="2:10" x14ac:dyDescent="0.25">
      <c r="B13" s="1" t="s">
        <v>4</v>
      </c>
      <c r="C13" s="4"/>
    </row>
    <row r="14" spans="2:10" x14ac:dyDescent="0.25">
      <c r="B14" s="1" t="s">
        <v>5</v>
      </c>
      <c r="C14" s="4"/>
    </row>
    <row r="15" spans="2:10" x14ac:dyDescent="0.25">
      <c r="B15" s="1" t="s">
        <v>162</v>
      </c>
      <c r="C15" s="4"/>
    </row>
    <row r="16" spans="2:10" x14ac:dyDescent="0.25">
      <c r="B16" s="1" t="s">
        <v>6</v>
      </c>
      <c r="C16" s="4"/>
    </row>
    <row r="17" spans="2:3" x14ac:dyDescent="0.25">
      <c r="B17" s="1" t="s">
        <v>7</v>
      </c>
      <c r="C17" s="4"/>
    </row>
    <row r="18" spans="2:3" x14ac:dyDescent="0.25">
      <c r="B18" s="1" t="s">
        <v>8</v>
      </c>
      <c r="C18" s="4"/>
    </row>
    <row r="19" spans="2:3" x14ac:dyDescent="0.25">
      <c r="B19" s="1" t="s">
        <v>9</v>
      </c>
      <c r="C19" s="4"/>
    </row>
    <row r="20" spans="2:3" x14ac:dyDescent="0.25">
      <c r="B20" s="1" t="s">
        <v>10</v>
      </c>
      <c r="C20" s="4"/>
    </row>
    <row r="21" spans="2:3" x14ac:dyDescent="0.25">
      <c r="B21" s="1" t="s">
        <v>11</v>
      </c>
      <c r="C21" s="4"/>
    </row>
    <row r="22" spans="2:3" x14ac:dyDescent="0.25">
      <c r="B22" s="1" t="s">
        <v>161</v>
      </c>
      <c r="C22" s="4"/>
    </row>
    <row r="23" spans="2:3" x14ac:dyDescent="0.25">
      <c r="B23" s="1" t="s">
        <v>12</v>
      </c>
      <c r="C23" s="4"/>
    </row>
    <row r="24" spans="2:3" x14ac:dyDescent="0.25">
      <c r="B24" s="1" t="s">
        <v>13</v>
      </c>
      <c r="C24" s="4"/>
    </row>
    <row r="25" spans="2:3" x14ac:dyDescent="0.25">
      <c r="B25" s="1" t="s">
        <v>14</v>
      </c>
      <c r="C25" s="4"/>
    </row>
    <row r="26" spans="2:3" x14ac:dyDescent="0.25">
      <c r="B26" s="1" t="s">
        <v>15</v>
      </c>
      <c r="C26" s="4"/>
    </row>
    <row r="27" spans="2:3" x14ac:dyDescent="0.25">
      <c r="B27" s="1" t="s">
        <v>16</v>
      </c>
      <c r="C27" s="4"/>
    </row>
    <row r="28" spans="2:3" x14ac:dyDescent="0.25">
      <c r="B28" s="1" t="s">
        <v>17</v>
      </c>
      <c r="C28" s="4"/>
    </row>
    <row r="29" spans="2:3" x14ac:dyDescent="0.25">
      <c r="B29" s="1" t="s">
        <v>18</v>
      </c>
      <c r="C29" s="4"/>
    </row>
    <row r="30" spans="2:3" x14ac:dyDescent="0.25">
      <c r="B30" s="1" t="s">
        <v>19</v>
      </c>
      <c r="C30" s="4"/>
    </row>
    <row r="31" spans="2:3" x14ac:dyDescent="0.25">
      <c r="B31" s="18" t="s">
        <v>54</v>
      </c>
      <c r="C31" s="4"/>
    </row>
    <row r="34" spans="2:18" x14ac:dyDescent="0.25">
      <c r="B34" s="1" t="s">
        <v>138</v>
      </c>
    </row>
    <row r="37" spans="2:18" x14ac:dyDescent="0.25">
      <c r="D37" s="101"/>
      <c r="E37" s="101"/>
    </row>
    <row r="38" spans="2:18" x14ac:dyDescent="0.25">
      <c r="D38" s="101"/>
      <c r="E38" s="101"/>
    </row>
    <row r="39" spans="2:18" x14ac:dyDescent="0.25">
      <c r="E39" s="101"/>
    </row>
    <row r="40" spans="2:18" x14ac:dyDescent="0.25">
      <c r="D40" s="101"/>
      <c r="E40" s="101"/>
    </row>
    <row r="43" spans="2:18" x14ac:dyDescent="0.25">
      <c r="C43" s="101"/>
    </row>
    <row r="44" spans="2:18" x14ac:dyDescent="0.25">
      <c r="C44" s="101"/>
      <c r="D44" s="101"/>
      <c r="R44" s="4"/>
    </row>
    <row r="45" spans="2:18" x14ac:dyDescent="0.25">
      <c r="R45" s="4"/>
    </row>
    <row r="46" spans="2:18" x14ac:dyDescent="0.25">
      <c r="R46" s="4"/>
    </row>
    <row r="47" spans="2:18" x14ac:dyDescent="0.25">
      <c r="R47" s="4"/>
    </row>
    <row r="48" spans="2:18" x14ac:dyDescent="0.25">
      <c r="R48" s="4"/>
    </row>
    <row r="49" spans="18:18" x14ac:dyDescent="0.25">
      <c r="R49" s="4"/>
    </row>
    <row r="50" spans="18:18" x14ac:dyDescent="0.25">
      <c r="R50" s="4"/>
    </row>
    <row r="51" spans="18:18" x14ac:dyDescent="0.25">
      <c r="R51" s="4"/>
    </row>
    <row r="52" spans="18:18" x14ac:dyDescent="0.25">
      <c r="R52" s="4"/>
    </row>
    <row r="53" spans="18:18" x14ac:dyDescent="0.25">
      <c r="R53" s="4"/>
    </row>
    <row r="54" spans="18:18" x14ac:dyDescent="0.25">
      <c r="R54" s="4"/>
    </row>
    <row r="55" spans="18:18" x14ac:dyDescent="0.25">
      <c r="R55" s="4"/>
    </row>
    <row r="56" spans="18:18" x14ac:dyDescent="0.25">
      <c r="R56" s="4"/>
    </row>
  </sheetData>
  <dataValidations count="1">
    <dataValidation type="list" allowBlank="1" showInputMessage="1" showErrorMessage="1" sqref="J3" xr:uid="{ABACD6A9-0882-4AFE-BDA1-CF7A51425A9A}">
      <formula1>$B$10:$B$31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3B10F-D7C5-4E49-B74F-B6C6CCB29653}">
  <sheetPr>
    <tabColor rgb="FFD3EEFF"/>
  </sheetPr>
  <dimension ref="A1:CG61"/>
  <sheetViews>
    <sheetView zoomScale="110" zoomScaleNormal="110" workbookViewId="0">
      <pane xSplit="2" topLeftCell="BX1" activePane="topRight" state="frozen"/>
      <selection activeCell="AI8" sqref="AI8"/>
      <selection pane="topRight" activeCell="BZ6" sqref="BZ6"/>
    </sheetView>
  </sheetViews>
  <sheetFormatPr defaultColWidth="20.54296875" defaultRowHeight="10.5" x14ac:dyDescent="0.25"/>
  <cols>
    <col min="1" max="1" width="1.81640625" style="1" customWidth="1"/>
    <col min="2" max="81" width="20.54296875" style="1"/>
    <col min="82" max="83" width="23" style="1" customWidth="1"/>
    <col min="84" max="84" width="25.54296875" style="1" customWidth="1"/>
    <col min="85" max="85" width="24.453125" style="1" customWidth="1"/>
    <col min="86" max="16384" width="20.54296875" style="1"/>
  </cols>
  <sheetData>
    <row r="1" spans="1:85" x14ac:dyDescent="0.25">
      <c r="C1" s="124"/>
      <c r="D1" s="124"/>
      <c r="E1" s="124"/>
      <c r="F1" s="124"/>
      <c r="G1" s="113"/>
      <c r="H1" s="113"/>
      <c r="I1" s="113"/>
      <c r="J1" s="113"/>
      <c r="K1" s="113"/>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c r="AU1" s="116"/>
      <c r="AV1" s="116"/>
      <c r="AW1" s="116"/>
      <c r="AX1" s="116"/>
      <c r="AY1" s="116"/>
      <c r="AZ1" s="116"/>
      <c r="BA1" s="116"/>
      <c r="BB1" s="116"/>
      <c r="BC1" s="118"/>
      <c r="BD1" s="116"/>
      <c r="BE1" s="116"/>
      <c r="BF1" s="116"/>
      <c r="BG1" s="116"/>
      <c r="BH1" s="116"/>
      <c r="BI1" s="116"/>
      <c r="BJ1" s="116"/>
      <c r="BK1" s="116"/>
      <c r="BL1" s="116"/>
      <c r="BM1" s="116"/>
      <c r="BN1" s="116"/>
      <c r="BO1" s="116"/>
      <c r="BP1" s="116"/>
      <c r="BQ1" s="116"/>
      <c r="BR1" s="116"/>
      <c r="BS1" s="118"/>
      <c r="BT1" s="116"/>
      <c r="BU1" s="116"/>
      <c r="BV1" s="116"/>
      <c r="BW1" s="116"/>
      <c r="CD1" s="116"/>
      <c r="CE1" s="116"/>
      <c r="CF1" s="116"/>
      <c r="CG1" s="116"/>
    </row>
    <row r="2" spans="1:85" s="48" customFormat="1" x14ac:dyDescent="0.25">
      <c r="A2" s="1"/>
      <c r="B2" s="55" t="s">
        <v>106</v>
      </c>
      <c r="P2" s="76"/>
      <c r="AD2" s="82"/>
      <c r="AM2" s="82"/>
      <c r="AS2" s="82"/>
      <c r="BE2" s="82"/>
      <c r="BK2" s="82"/>
      <c r="BQ2" s="82"/>
      <c r="BU2" s="76"/>
      <c r="BW2" s="82"/>
      <c r="CC2" s="82"/>
    </row>
    <row r="3" spans="1:85" x14ac:dyDescent="0.25">
      <c r="B3" s="1" t="s">
        <v>105</v>
      </c>
      <c r="G3" s="74"/>
      <c r="H3" s="367" t="s">
        <v>55</v>
      </c>
      <c r="I3" s="368"/>
      <c r="J3" s="367" t="s">
        <v>56</v>
      </c>
      <c r="K3" s="368"/>
      <c r="L3" s="364" t="s">
        <v>60</v>
      </c>
      <c r="M3" s="364"/>
      <c r="N3" s="364"/>
      <c r="O3" s="364"/>
      <c r="P3" s="365"/>
      <c r="Q3" s="364" t="s">
        <v>23</v>
      </c>
      <c r="R3" s="364"/>
      <c r="S3" s="364"/>
      <c r="T3" s="364"/>
      <c r="U3" s="364"/>
      <c r="V3" s="364"/>
      <c r="W3" s="364"/>
      <c r="X3" s="365"/>
      <c r="Y3" s="366" t="s">
        <v>68</v>
      </c>
      <c r="Z3" s="364"/>
      <c r="AA3" s="364"/>
      <c r="AB3" s="364"/>
      <c r="AC3" s="364"/>
      <c r="AD3" s="365"/>
      <c r="AE3" s="366" t="s">
        <v>151</v>
      </c>
      <c r="AF3" s="364"/>
      <c r="AG3" s="364"/>
      <c r="AH3" s="364"/>
      <c r="AI3" s="364"/>
      <c r="AJ3" s="365"/>
      <c r="AK3" s="366" t="s">
        <v>69</v>
      </c>
      <c r="AL3" s="364"/>
      <c r="AM3" s="365"/>
      <c r="AN3" s="366" t="s">
        <v>153</v>
      </c>
      <c r="AO3" s="364"/>
      <c r="AP3" s="364"/>
      <c r="AQ3" s="364"/>
      <c r="AR3" s="364"/>
      <c r="AS3" s="365"/>
      <c r="AT3" s="364" t="s">
        <v>154</v>
      </c>
      <c r="AU3" s="364"/>
      <c r="AV3" s="364"/>
      <c r="AW3" s="364"/>
      <c r="AX3" s="364"/>
      <c r="AY3" s="365"/>
      <c r="AZ3" s="364" t="s">
        <v>73</v>
      </c>
      <c r="BA3" s="364"/>
      <c r="BB3" s="364"/>
      <c r="BC3" s="364"/>
      <c r="BD3" s="364"/>
      <c r="BE3" s="365"/>
      <c r="BF3" s="367" t="s">
        <v>42</v>
      </c>
      <c r="BG3" s="369"/>
      <c r="BH3" s="369"/>
      <c r="BI3" s="369"/>
      <c r="BJ3" s="68"/>
      <c r="BK3" s="84"/>
      <c r="BL3" s="364" t="s">
        <v>104</v>
      </c>
      <c r="BM3" s="364"/>
      <c r="BN3" s="364"/>
      <c r="BO3" s="364"/>
      <c r="BP3" s="364"/>
      <c r="BQ3" s="365"/>
      <c r="BR3" s="366" t="s">
        <v>45</v>
      </c>
      <c r="BS3" s="364"/>
      <c r="BT3" s="364"/>
      <c r="BU3" s="364"/>
      <c r="BV3" s="364"/>
      <c r="BW3" s="365"/>
      <c r="BX3" s="364" t="s">
        <v>76</v>
      </c>
      <c r="BY3" s="364"/>
      <c r="BZ3" s="364"/>
      <c r="CA3" s="364"/>
      <c r="CB3" s="364"/>
      <c r="CC3" s="365"/>
      <c r="CD3" s="108" t="s">
        <v>196</v>
      </c>
      <c r="CE3" s="108" t="s">
        <v>197</v>
      </c>
      <c r="CF3" s="108" t="s">
        <v>155</v>
      </c>
      <c r="CG3" s="108" t="s">
        <v>102</v>
      </c>
    </row>
    <row r="4" spans="1:85" x14ac:dyDescent="0.25">
      <c r="B4" s="1" t="s">
        <v>24</v>
      </c>
      <c r="C4" s="1" t="s">
        <v>27</v>
      </c>
      <c r="D4" s="1" t="s">
        <v>261</v>
      </c>
      <c r="E4" s="1" t="s">
        <v>28</v>
      </c>
      <c r="F4" s="1" t="s">
        <v>27</v>
      </c>
      <c r="G4" s="74" t="s">
        <v>25</v>
      </c>
      <c r="H4" s="1" t="s">
        <v>25</v>
      </c>
      <c r="I4" s="77" t="s">
        <v>52</v>
      </c>
      <c r="J4" s="1" t="s">
        <v>25</v>
      </c>
      <c r="K4" s="88"/>
      <c r="L4" s="1" t="s">
        <v>29</v>
      </c>
      <c r="M4" s="1" t="s">
        <v>40</v>
      </c>
      <c r="O4" s="1" t="s">
        <v>61</v>
      </c>
      <c r="P4" s="74"/>
      <c r="Q4" s="1" t="s">
        <v>62</v>
      </c>
      <c r="R4" s="1" t="s">
        <v>62</v>
      </c>
      <c r="S4" s="1" t="s">
        <v>62</v>
      </c>
      <c r="T4" s="1" t="s">
        <v>62</v>
      </c>
      <c r="U4" s="18" t="s">
        <v>52</v>
      </c>
      <c r="V4" s="18" t="s">
        <v>52</v>
      </c>
      <c r="W4" s="18" t="s">
        <v>52</v>
      </c>
      <c r="X4" s="77" t="s">
        <v>52</v>
      </c>
      <c r="Y4" s="1" t="s">
        <v>67</v>
      </c>
      <c r="Z4" s="1" t="s">
        <v>67</v>
      </c>
      <c r="AA4" s="18" t="s">
        <v>52</v>
      </c>
      <c r="AB4" s="18"/>
      <c r="AC4" s="18"/>
      <c r="AD4" s="79"/>
      <c r="AE4" s="1" t="s">
        <v>148</v>
      </c>
      <c r="AF4" s="1" t="s">
        <v>148</v>
      </c>
      <c r="AG4" s="18" t="s">
        <v>52</v>
      </c>
      <c r="AH4" s="18" t="s">
        <v>52</v>
      </c>
      <c r="AI4" s="18" t="s">
        <v>52</v>
      </c>
      <c r="AJ4" s="79" t="s">
        <v>52</v>
      </c>
      <c r="AK4" s="1" t="s">
        <v>35</v>
      </c>
      <c r="AL4" s="18" t="s">
        <v>52</v>
      </c>
      <c r="AM4" s="18" t="s">
        <v>52</v>
      </c>
      <c r="AN4" s="1" t="s">
        <v>29</v>
      </c>
      <c r="AO4" s="1" t="s">
        <v>29</v>
      </c>
      <c r="AP4" s="1" t="s">
        <v>29</v>
      </c>
      <c r="AQ4" s="1" t="s">
        <v>29</v>
      </c>
      <c r="AS4" s="74"/>
      <c r="AT4" s="1" t="s">
        <v>29</v>
      </c>
      <c r="AU4" s="1" t="s">
        <v>29</v>
      </c>
      <c r="AV4" s="1" t="s">
        <v>29</v>
      </c>
      <c r="AW4" s="1" t="s">
        <v>29</v>
      </c>
      <c r="AY4" s="74"/>
      <c r="AZ4" s="1" t="s">
        <v>29</v>
      </c>
      <c r="BA4" s="1" t="s">
        <v>40</v>
      </c>
      <c r="BB4" s="18" t="s">
        <v>52</v>
      </c>
      <c r="BC4" s="1" t="s">
        <v>29</v>
      </c>
      <c r="BE4" s="74"/>
      <c r="BF4" s="1" t="s">
        <v>29</v>
      </c>
      <c r="BG4" s="1" t="s">
        <v>40</v>
      </c>
      <c r="BH4" s="18" t="s">
        <v>52</v>
      </c>
      <c r="BI4" s="1" t="s">
        <v>29</v>
      </c>
      <c r="BK4" s="74"/>
      <c r="BL4" s="1" t="s">
        <v>29</v>
      </c>
      <c r="BM4" s="1" t="s">
        <v>40</v>
      </c>
      <c r="BQ4" s="74"/>
      <c r="BR4" s="1" t="s">
        <v>44</v>
      </c>
      <c r="BS4" s="1" t="s">
        <v>44</v>
      </c>
      <c r="BT4" s="18" t="s">
        <v>52</v>
      </c>
      <c r="BU4" s="80" t="s">
        <v>40</v>
      </c>
      <c r="BW4" s="74"/>
      <c r="BX4" s="1" t="s">
        <v>49</v>
      </c>
      <c r="BY4" s="18" t="s">
        <v>52</v>
      </c>
      <c r="BZ4" s="1" t="s">
        <v>29</v>
      </c>
      <c r="CA4" s="18" t="s">
        <v>52</v>
      </c>
      <c r="CB4" s="18" t="s">
        <v>52</v>
      </c>
      <c r="CC4" s="77" t="s">
        <v>52</v>
      </c>
      <c r="CD4" s="109" t="s">
        <v>198</v>
      </c>
      <c r="CE4" s="109" t="s">
        <v>198</v>
      </c>
      <c r="CF4" s="109" t="s">
        <v>156</v>
      </c>
      <c r="CG4" s="109" t="s">
        <v>156</v>
      </c>
    </row>
    <row r="5" spans="1:85" s="5" customFormat="1" ht="63.65" customHeight="1" x14ac:dyDescent="0.25">
      <c r="B5" s="5" t="s">
        <v>0</v>
      </c>
      <c r="C5" s="5" t="s">
        <v>193</v>
      </c>
      <c r="D5" s="5" t="s">
        <v>194</v>
      </c>
      <c r="E5" s="5" t="s">
        <v>195</v>
      </c>
      <c r="F5" s="5" t="s">
        <v>20</v>
      </c>
      <c r="G5" s="75" t="s">
        <v>194</v>
      </c>
      <c r="H5" s="5" t="s">
        <v>160</v>
      </c>
      <c r="I5" s="75" t="s">
        <v>21</v>
      </c>
      <c r="J5" s="5" t="s">
        <v>159</v>
      </c>
      <c r="K5" s="75" t="s">
        <v>22</v>
      </c>
      <c r="L5" s="5" t="s">
        <v>188</v>
      </c>
      <c r="M5" s="5" t="s">
        <v>189</v>
      </c>
      <c r="N5" s="5" t="s">
        <v>57</v>
      </c>
      <c r="O5" s="5" t="s">
        <v>190</v>
      </c>
      <c r="P5" s="75" t="s">
        <v>59</v>
      </c>
      <c r="Q5" s="5" t="s">
        <v>164</v>
      </c>
      <c r="R5" s="5" t="s">
        <v>165</v>
      </c>
      <c r="S5" s="5" t="s">
        <v>166</v>
      </c>
      <c r="T5" s="5" t="s">
        <v>167</v>
      </c>
      <c r="U5" s="5" t="s">
        <v>168</v>
      </c>
      <c r="V5" s="5" t="s">
        <v>169</v>
      </c>
      <c r="W5" s="5" t="s">
        <v>64</v>
      </c>
      <c r="X5" s="75" t="s">
        <v>65</v>
      </c>
      <c r="Y5" s="5" t="s">
        <v>30</v>
      </c>
      <c r="Z5" s="5" t="s">
        <v>31</v>
      </c>
      <c r="AA5" s="5" t="s">
        <v>32</v>
      </c>
      <c r="AB5" s="5" t="s">
        <v>163</v>
      </c>
      <c r="AC5" s="5" t="s">
        <v>136</v>
      </c>
      <c r="AD5" s="75" t="s">
        <v>129</v>
      </c>
      <c r="AE5" s="5" t="s">
        <v>147</v>
      </c>
      <c r="AF5" s="5" t="s">
        <v>146</v>
      </c>
      <c r="AG5" s="5" t="s">
        <v>149</v>
      </c>
      <c r="AH5" s="5" t="s">
        <v>150</v>
      </c>
      <c r="AI5" s="5" t="s">
        <v>136</v>
      </c>
      <c r="AJ5" s="75" t="s">
        <v>129</v>
      </c>
      <c r="AK5" s="5" t="s">
        <v>37</v>
      </c>
      <c r="AL5" s="5" t="s">
        <v>38</v>
      </c>
      <c r="AM5" s="75" t="s">
        <v>135</v>
      </c>
      <c r="AN5" s="5" t="s">
        <v>170</v>
      </c>
      <c r="AO5" s="5" t="s">
        <v>171</v>
      </c>
      <c r="AP5" s="5" t="s">
        <v>191</v>
      </c>
      <c r="AQ5" s="5" t="s">
        <v>172</v>
      </c>
      <c r="AR5" s="5" t="s">
        <v>128</v>
      </c>
      <c r="AS5" s="75" t="s">
        <v>129</v>
      </c>
      <c r="AT5" s="5" t="s">
        <v>173</v>
      </c>
      <c r="AU5" s="5" t="s">
        <v>174</v>
      </c>
      <c r="AV5" s="5" t="s">
        <v>192</v>
      </c>
      <c r="AW5" s="5" t="s">
        <v>175</v>
      </c>
      <c r="AX5" s="5" t="s">
        <v>133</v>
      </c>
      <c r="AY5" s="75" t="s">
        <v>134</v>
      </c>
      <c r="AZ5" s="5" t="s">
        <v>176</v>
      </c>
      <c r="BA5" s="5" t="s">
        <v>181</v>
      </c>
      <c r="BB5" s="5" t="s">
        <v>39</v>
      </c>
      <c r="BC5" s="5" t="s">
        <v>41</v>
      </c>
      <c r="BD5" s="5" t="s">
        <v>131</v>
      </c>
      <c r="BE5" s="75" t="s">
        <v>132</v>
      </c>
      <c r="BF5" s="5" t="s">
        <v>182</v>
      </c>
      <c r="BG5" s="5" t="s">
        <v>71</v>
      </c>
      <c r="BH5" s="5" t="s">
        <v>183</v>
      </c>
      <c r="BI5" s="5" t="s">
        <v>184</v>
      </c>
      <c r="BJ5" s="5" t="s">
        <v>131</v>
      </c>
      <c r="BK5" s="75" t="s">
        <v>132</v>
      </c>
      <c r="BL5" s="5" t="s">
        <v>185</v>
      </c>
      <c r="BM5" s="5" t="s">
        <v>186</v>
      </c>
      <c r="BN5" s="5" t="s">
        <v>43</v>
      </c>
      <c r="BO5" s="5" t="s">
        <v>187</v>
      </c>
      <c r="BP5" s="5" t="s">
        <v>131</v>
      </c>
      <c r="BQ5" s="75" t="s">
        <v>132</v>
      </c>
      <c r="BR5" s="5" t="s">
        <v>177</v>
      </c>
      <c r="BS5" s="5" t="s">
        <v>178</v>
      </c>
      <c r="BT5" s="5" t="s">
        <v>179</v>
      </c>
      <c r="BU5" s="5" t="s">
        <v>180</v>
      </c>
      <c r="BV5" s="5" t="s">
        <v>128</v>
      </c>
      <c r="BW5" s="75" t="s">
        <v>129</v>
      </c>
      <c r="BX5" s="5" t="s">
        <v>47</v>
      </c>
      <c r="BY5" s="5" t="s">
        <v>74</v>
      </c>
      <c r="BZ5" s="5" t="s">
        <v>48</v>
      </c>
      <c r="CA5" s="5" t="s">
        <v>75</v>
      </c>
      <c r="CB5" s="5" t="s">
        <v>128</v>
      </c>
      <c r="CC5" s="75" t="s">
        <v>129</v>
      </c>
      <c r="CD5" s="75" t="s">
        <v>199</v>
      </c>
      <c r="CE5" s="75" t="s">
        <v>200</v>
      </c>
      <c r="CF5" s="75" t="s">
        <v>157</v>
      </c>
      <c r="CG5" s="111" t="s">
        <v>158</v>
      </c>
    </row>
    <row r="6" spans="1:85" ht="11.5" x14ac:dyDescent="0.3">
      <c r="B6" s="1" t="s">
        <v>1</v>
      </c>
      <c r="C6" s="122">
        <v>293.62034659132564</v>
      </c>
      <c r="D6" s="122">
        <v>261.7</v>
      </c>
      <c r="E6" s="123">
        <v>7.9523809523809526</v>
      </c>
      <c r="F6" s="3">
        <v>0.86858117621574782</v>
      </c>
      <c r="G6" s="90">
        <v>268</v>
      </c>
      <c r="H6" s="26">
        <v>22.167123287671235</v>
      </c>
      <c r="I6" s="89">
        <f>H6/(G6/100)</f>
        <v>8.2713146595788185</v>
      </c>
      <c r="J6" s="26">
        <v>5.2876712328767121</v>
      </c>
      <c r="K6" s="89">
        <f>J6/(G6/100)</f>
        <v>1.9730116540584746</v>
      </c>
      <c r="L6" s="25">
        <v>6079</v>
      </c>
      <c r="M6" s="9">
        <v>157223</v>
      </c>
      <c r="N6" s="23">
        <f>L6/M6</f>
        <v>3.8664826393084981E-2</v>
      </c>
      <c r="O6" s="9">
        <v>25118</v>
      </c>
      <c r="P6" s="87">
        <f>L6/O6</f>
        <v>0.24201767656660561</v>
      </c>
      <c r="Q6" s="25">
        <v>703</v>
      </c>
      <c r="R6" s="9">
        <v>628</v>
      </c>
      <c r="S6" s="9">
        <v>1201</v>
      </c>
      <c r="T6" s="9">
        <v>735</v>
      </c>
      <c r="U6" s="9">
        <f>Q6-R6</f>
        <v>75</v>
      </c>
      <c r="V6" s="9">
        <f>S6-T6</f>
        <v>466</v>
      </c>
      <c r="W6" s="23">
        <f>V6/S6</f>
        <v>0.38800999167360534</v>
      </c>
      <c r="X6" s="104">
        <f>U6/Q6</f>
        <v>0.10668563300142248</v>
      </c>
      <c r="Y6" s="25">
        <v>901</v>
      </c>
      <c r="Z6" s="9">
        <v>31</v>
      </c>
      <c r="AA6" s="10">
        <f>Z6/Y6</f>
        <v>3.4406215316315207E-2</v>
      </c>
      <c r="AB6" s="117">
        <v>0.93200000000000005</v>
      </c>
      <c r="AC6" s="85">
        <f>Z6-($AA$30*Y6)</f>
        <v>3.0689999999999991</v>
      </c>
      <c r="AD6" s="86">
        <f>IF(AC6/'Data - beräkning av pot vårdpla'!$E$40&lt;=0,"",AC6/((24*7*52)/('Data - beräkning av pot vårdpla'!$E$37*'Data - insamling av data'!$AB6*'Data - beräkning av pot vårdpla'!$E$38)*'Data - beräkning av pot vårdpla'!$E$36))</f>
        <v>3.1392666098901088</v>
      </c>
      <c r="AE6" s="105">
        <v>1294</v>
      </c>
      <c r="AF6" s="62">
        <v>70.000000000000071</v>
      </c>
      <c r="AG6" s="10">
        <f>AF6/AE6</f>
        <v>5.4095826893353995E-2</v>
      </c>
      <c r="AH6" s="62">
        <f>AG6*Y6</f>
        <v>48.740340030911952</v>
      </c>
      <c r="AI6" s="85">
        <f>AH6-Y6*$AG$30</f>
        <v>-8.6939229172952963</v>
      </c>
      <c r="AJ6" s="86" t="str">
        <f>IF((AI6/'Data - beräkning av pot vårdpla'!$E$40)*'Data - beräkning av pot vårdpla'!$E$41&gt;0,(AI6/((24*7*52)/('Data - beräkning av pot vårdpla'!$E$37*'Data - insamling av data'!$AB6*'Data - beräkning av pot vårdpla'!$E$38)*'Data - beräkning av pot vårdpla'!$E$36))*'Data - beräkning av pot vårdpla'!$E$41,"")</f>
        <v/>
      </c>
      <c r="AK6" s="106">
        <f t="shared" ref="AK6:AK26" si="0">AL6/G6</f>
        <v>1.9730116540584746E-2</v>
      </c>
      <c r="AL6" s="62">
        <v>5.2876712328767121</v>
      </c>
      <c r="AM6" s="86">
        <f t="shared" ref="AM6:AM26" si="1">IF(AL6-($AK$30*G6)&lt;=0,"",AL6-($AK$30*G6))</f>
        <v>2.2342836601552358</v>
      </c>
      <c r="AN6" s="25">
        <v>1558</v>
      </c>
      <c r="AO6" s="39">
        <v>0.13637955182072828</v>
      </c>
      <c r="AP6" s="8">
        <v>8.1258023106546862</v>
      </c>
      <c r="AQ6" s="9">
        <v>11424</v>
      </c>
      <c r="AR6" s="70">
        <f>AN6-($AO$30*AQ6)</f>
        <v>155.23367018573936</v>
      </c>
      <c r="AS6" s="78">
        <f>IF((AR6*AP6)/365&lt;=0,"",(AR6*AP6)/365)</f>
        <v>3.4558852490046257</v>
      </c>
      <c r="AT6" s="25">
        <v>610</v>
      </c>
      <c r="AU6" s="39">
        <v>8.9547856723429242E-2</v>
      </c>
      <c r="AV6" s="8">
        <v>6.4262295081967187</v>
      </c>
      <c r="AW6" s="9">
        <v>6812</v>
      </c>
      <c r="AX6" s="70">
        <f>AT6-($AU$30*AW6)</f>
        <v>17.355999999999995</v>
      </c>
      <c r="AY6" s="78">
        <f>IF((AX6*AV6)/365&lt;=0,"",(AX6*AV6)/365)</f>
        <v>0.30557161464181426</v>
      </c>
      <c r="AZ6" s="25">
        <v>1736</v>
      </c>
      <c r="BA6" s="9">
        <v>39165</v>
      </c>
      <c r="BB6" s="44">
        <f>(AZ6/BA6)*100000</f>
        <v>4432.5290437890981</v>
      </c>
      <c r="BC6" s="8">
        <v>5.1835284280936458</v>
      </c>
      <c r="BD6" s="70">
        <f>((BB6/100000)*BA6)-(($BB$30/100000)*BA6)</f>
        <v>276.96973774904041</v>
      </c>
      <c r="BE6" s="78">
        <f>IF((BD6*BC6)/365&gt;0,(BD6*BC6)/365,"")</f>
        <v>3.9333712584761442</v>
      </c>
      <c r="BF6" s="25">
        <v>641</v>
      </c>
      <c r="BG6" s="9">
        <v>38965</v>
      </c>
      <c r="BH6" s="44">
        <f>BF6/(BG6/100000)</f>
        <v>1645.0660849480303</v>
      </c>
      <c r="BI6" s="8">
        <v>6.2605304212168491</v>
      </c>
      <c r="BJ6" s="70">
        <f>((BH6/100000)*BG6)-(($BH$30/100000)*BG6)</f>
        <v>67.169854429140173</v>
      </c>
      <c r="BK6" s="78">
        <f>IF((BI6*BJ6)/365&gt;0,(BJ6*BI6)/365,"")</f>
        <v>1.1521066220338065</v>
      </c>
      <c r="BL6" s="25">
        <v>110</v>
      </c>
      <c r="BM6" s="9">
        <v>84266</v>
      </c>
      <c r="BN6" s="44">
        <f>BL6/(BM6/100000)</f>
        <v>130.53900742885625</v>
      </c>
      <c r="BO6" s="8">
        <v>3.4454545454545453</v>
      </c>
      <c r="BP6" s="70">
        <f>((BN6/100000)*BM6)-(($BN$30/100000)*BM6)</f>
        <v>23.900726642282237</v>
      </c>
      <c r="BQ6" s="78">
        <f>IF((BP6*BO6)/365&gt;0,(BP6*BO6)/365,"")</f>
        <v>0.22561333492963806</v>
      </c>
      <c r="BR6" s="25">
        <v>918</v>
      </c>
      <c r="BS6" s="8">
        <v>9.8376906318082789</v>
      </c>
      <c r="BT6" s="39">
        <f t="shared" ref="BT6:BT27" si="2">BR6/BU6</f>
        <v>2.3559604773514691E-2</v>
      </c>
      <c r="BU6" s="81">
        <v>38965</v>
      </c>
      <c r="BV6" s="70">
        <f>BR6-($BT$30*BU6)</f>
        <v>0</v>
      </c>
      <c r="BW6" s="83" t="str">
        <f>IF((BV6*BS6)/365&lt;=0,"",(BV6*BS6)/365)</f>
        <v/>
      </c>
      <c r="BX6" s="73">
        <v>0.125</v>
      </c>
      <c r="BY6" s="39">
        <v>9.4600000000000004E-2</v>
      </c>
      <c r="BZ6" s="9">
        <v>21667</v>
      </c>
      <c r="CA6" s="9">
        <f>BY6*BZ6</f>
        <v>2049.6982000000003</v>
      </c>
      <c r="CB6" s="70">
        <f t="shared" ref="CB6:CB26" si="3">CA6-($BY$30*BZ6)</f>
        <v>1031.3492000000001</v>
      </c>
      <c r="CC6" s="78">
        <f>IF((CB6*6.5)/365&lt;0,"",(CB6*6.5)/365)</f>
        <v>18.366492602739729</v>
      </c>
      <c r="CD6" s="104">
        <v>0.3087422971940994</v>
      </c>
      <c r="CE6" s="104">
        <v>0.26352822705797152</v>
      </c>
      <c r="CF6" s="110">
        <v>1.1080332409972299E-2</v>
      </c>
      <c r="CG6" s="110">
        <v>2.0460358056265986E-2</v>
      </c>
    </row>
    <row r="7" spans="1:85" ht="11.5" x14ac:dyDescent="0.3">
      <c r="B7" s="1" t="s">
        <v>2</v>
      </c>
      <c r="C7" s="122">
        <v>414.8189429826744</v>
      </c>
      <c r="D7" s="122">
        <v>377</v>
      </c>
      <c r="E7" s="123">
        <v>12</v>
      </c>
      <c r="F7" s="3">
        <v>0.87265209618376138</v>
      </c>
      <c r="G7" s="90">
        <v>392.35890410958905</v>
      </c>
      <c r="H7" s="26">
        <v>10.676712328767124</v>
      </c>
      <c r="I7" s="89">
        <f>H7/(G7/100)</f>
        <v>2.7211596874541764</v>
      </c>
      <c r="J7" s="26">
        <v>10.501369863013698</v>
      </c>
      <c r="K7" s="89">
        <f t="shared" ref="K7:K27" si="4">J7/(G7/100)</f>
        <v>2.6764703828616514</v>
      </c>
      <c r="L7" s="25">
        <v>8415</v>
      </c>
      <c r="M7" s="9">
        <v>286546</v>
      </c>
      <c r="N7" s="23">
        <f t="shared" ref="N7:N26" si="5">L7/M7</f>
        <v>2.9367012626245002E-2</v>
      </c>
      <c r="O7" s="9">
        <v>57459</v>
      </c>
      <c r="P7" s="87">
        <f t="shared" ref="P7:P26" si="6">L7/O7</f>
        <v>0.14645225291077116</v>
      </c>
      <c r="Q7" s="25">
        <v>1217</v>
      </c>
      <c r="R7" s="9">
        <v>778</v>
      </c>
      <c r="S7" s="9">
        <v>1291</v>
      </c>
      <c r="T7" s="9">
        <v>767</v>
      </c>
      <c r="U7" s="9">
        <f t="shared" ref="U7:U26" si="7">Q7-R7</f>
        <v>439</v>
      </c>
      <c r="V7" s="9">
        <f t="shared" ref="V7:V26" si="8">S7-T7</f>
        <v>524</v>
      </c>
      <c r="W7" s="23">
        <f t="shared" ref="W7:W26" si="9">V7/S7</f>
        <v>0.40588690937257937</v>
      </c>
      <c r="X7" s="104">
        <f t="shared" ref="X7:X26" si="10">U7/Q7</f>
        <v>0.36072308956450289</v>
      </c>
      <c r="Y7" s="25">
        <v>1382</v>
      </c>
      <c r="Z7" s="9">
        <v>71</v>
      </c>
      <c r="AA7" s="10">
        <f t="shared" ref="AA7:AA25" si="11">Z7/Y7</f>
        <v>5.1374819102749637E-2</v>
      </c>
      <c r="AB7" s="117">
        <v>0.92099999999999993</v>
      </c>
      <c r="AC7" s="85">
        <f>Z7-($AA$30*Y7)</f>
        <v>28.158000000000001</v>
      </c>
      <c r="AD7" s="86">
        <f>IF(AC7/'Data - beräkning av pot vårdpla'!$E$40&lt;=0,"",AC7/((24*7*52)/('Data - beräkning av pot vårdpla'!$E$37*'Data - insamling av data'!$AB7*'Data - beräkning av pot vårdpla'!$E$38)*'Data - beräkning av pot vårdpla'!$E$36))</f>
        <v>28.462748464285713</v>
      </c>
      <c r="AE7" s="105">
        <v>2297</v>
      </c>
      <c r="AF7" s="62">
        <v>163.99999999999997</v>
      </c>
      <c r="AG7" s="10">
        <f t="shared" ref="AG7:AG26" si="12">AF7/AE7</f>
        <v>7.1397474967348704E-2</v>
      </c>
      <c r="AH7" s="62">
        <f>AG7*Y7</f>
        <v>98.671310404875911</v>
      </c>
      <c r="AI7" s="85">
        <f>AH7-Y7*$AG$30</f>
        <v>10.575692874995326</v>
      </c>
      <c r="AJ7" s="86">
        <f>IF((AI7/'Data - beräkning av pot vårdpla'!$E$40)*'Data - beräkning av pot vårdpla'!$E$41&gt;0,(AI7/((24*7*52)/('Data - beräkning av pot vårdpla'!$E$37*'Data - insamling av data'!$AB7*'Data - beräkning av pot vårdpla'!$E$38)*'Data - beräkning av pot vårdpla'!$E$36))*'Data - beräkning av pot vårdpla'!$E$41,"")</f>
        <v>8.552121205668886</v>
      </c>
      <c r="AK7" s="106">
        <f t="shared" si="0"/>
        <v>2.6764703828616516E-2</v>
      </c>
      <c r="AL7" s="62">
        <v>10.501369863013698</v>
      </c>
      <c r="AM7" s="86">
        <f t="shared" si="1"/>
        <v>6.0311317963911737</v>
      </c>
      <c r="AN7" s="25">
        <v>2672</v>
      </c>
      <c r="AO7" s="39">
        <v>0.1383882328568469</v>
      </c>
      <c r="AP7" s="8">
        <v>6.6040419161676649</v>
      </c>
      <c r="AQ7" s="9">
        <v>19308</v>
      </c>
      <c r="AR7" s="70">
        <f t="shared" ref="AR7:AR26" si="13">AN7-($AO$30*AQ7)</f>
        <v>301.14808332862867</v>
      </c>
      <c r="AS7" s="78">
        <f t="shared" ref="AS7:AS26" si="14">IF((AR7*AP7)/365&lt;=0,"",(AR7*AP7)/365)</f>
        <v>5.4487522336323737</v>
      </c>
      <c r="AT7" s="25">
        <v>1138</v>
      </c>
      <c r="AU7" s="39">
        <v>0.10109265346006929</v>
      </c>
      <c r="AV7" s="8">
        <v>5.198594024604569</v>
      </c>
      <c r="AW7" s="9">
        <v>11257</v>
      </c>
      <c r="AX7" s="70">
        <f>AT7-($AU$30*AW7)</f>
        <v>158.64100000000008</v>
      </c>
      <c r="AY7" s="78">
        <f>IF((AX7*AV7)/365&lt;=0,"",(AX7*AV7)/365)</f>
        <v>2.2594798757734078</v>
      </c>
      <c r="AZ7" s="25">
        <v>3057</v>
      </c>
      <c r="BA7" s="9">
        <v>74684</v>
      </c>
      <c r="BB7" s="44">
        <f t="shared" ref="BB7:BB25" si="15">(AZ7/BA7)*100000</f>
        <v>4093.2462107010874</v>
      </c>
      <c r="BC7" s="8">
        <v>4.4976098338265427</v>
      </c>
      <c r="BD7" s="70">
        <f t="shared" ref="BD7:BD26" si="16">((BB7/100000)*BA7)-(($BB$30/100000)*BA7)</f>
        <v>274.76545114386045</v>
      </c>
      <c r="BE7" s="78">
        <f t="shared" ref="BE7:BE26" si="17">IF((BD7*BC7)/365&gt;0,(BD7*BC7)/365,"")</f>
        <v>3.3857199864668854</v>
      </c>
      <c r="BF7" s="25">
        <v>1308</v>
      </c>
      <c r="BG7" s="9">
        <v>74098</v>
      </c>
      <c r="BH7" s="44">
        <f t="shared" ref="BH7:BH27" si="18">BF7/(BG7/100000)</f>
        <v>1765.2298307646631</v>
      </c>
      <c r="BI7" s="8">
        <v>4.4602446483180431</v>
      </c>
      <c r="BJ7" s="70">
        <f t="shared" ref="BJ7:BJ26" si="19">((BH7/100000)*BG7)-(($BH$30/100000)*BG7)</f>
        <v>216.7728441804295</v>
      </c>
      <c r="BK7" s="78">
        <f t="shared" ref="BK7:BK26" si="20">IF((BI7*BJ7)/365&gt;0,(BJ7*BI7)/365,"")</f>
        <v>2.6489312826203881</v>
      </c>
      <c r="BL7" s="25">
        <v>195</v>
      </c>
      <c r="BM7" s="9">
        <v>149686</v>
      </c>
      <c r="BN7" s="44">
        <f t="shared" ref="BN7:BN27" si="21">BL7/(BM7/100000)</f>
        <v>130.272704194113</v>
      </c>
      <c r="BO7" s="8">
        <v>4.0307692307692307</v>
      </c>
      <c r="BP7" s="70">
        <f t="shared" ref="BP7:BP26" si="22">((BN7/100000)*BM7)-(($BN$30/100000)*BM7)</f>
        <v>42.057462893416755</v>
      </c>
      <c r="BQ7" s="78">
        <f t="shared" ref="BQ7:BQ26" si="23">IF((BP7*BO7)/365&gt;0,(BP7*BO7)/365,"")</f>
        <v>0.46444911604110389</v>
      </c>
      <c r="BR7" s="25">
        <v>2146</v>
      </c>
      <c r="BS7" s="8">
        <v>7.9664492078285178</v>
      </c>
      <c r="BT7" s="39">
        <f t="shared" si="2"/>
        <v>2.89616453885395E-2</v>
      </c>
      <c r="BU7" s="81">
        <v>74098</v>
      </c>
      <c r="BV7" s="70">
        <f t="shared" ref="BV7:BV26" si="24">BR7-($BT$30*BU7)</f>
        <v>400.28040549210846</v>
      </c>
      <c r="BW7" s="83">
        <f t="shared" ref="BW7:BW26" si="25">IF((BV7*BS7)/365&lt;=0,"",(BV7*BS7)/365)</f>
        <v>8.7364753951832483</v>
      </c>
      <c r="BX7" s="73">
        <v>2.3E-2</v>
      </c>
      <c r="BY7" s="39">
        <v>3.216666666666667E-2</v>
      </c>
      <c r="BZ7" s="9">
        <v>38273</v>
      </c>
      <c r="CA7" s="9">
        <f t="shared" ref="CA7:CA26" si="26">BY7*BZ7</f>
        <v>1231.1148333333335</v>
      </c>
      <c r="CB7" s="70">
        <f t="shared" si="3"/>
        <v>-567.71616666666682</v>
      </c>
      <c r="CC7" s="78" t="str">
        <f t="shared" ref="CC7:CC26" si="27">IF((CB7*6.5)/365&lt;0,"",(CB7*6.5)/365)</f>
        <v/>
      </c>
      <c r="CD7" s="104">
        <v>0.13740713360528978</v>
      </c>
      <c r="CE7" s="104">
        <v>0.29778395587309814</v>
      </c>
      <c r="CF7" s="110">
        <v>1.1664074650077761E-2</v>
      </c>
      <c r="CG7" s="112">
        <v>3.8377986965966691E-2</v>
      </c>
    </row>
    <row r="8" spans="1:85" ht="11.5" x14ac:dyDescent="0.3">
      <c r="B8" s="1" t="s">
        <v>3</v>
      </c>
      <c r="C8" s="122">
        <v>123.10273244632663</v>
      </c>
      <c r="D8" s="122">
        <v>133</v>
      </c>
      <c r="E8" s="123">
        <v>5</v>
      </c>
      <c r="F8" s="3">
        <v>0.86822112254199757</v>
      </c>
      <c r="G8" s="90">
        <v>133.96164383561643</v>
      </c>
      <c r="H8" s="26">
        <v>3.4876712328767123</v>
      </c>
      <c r="I8" s="89">
        <f t="shared" ref="I8:I27" si="28">H8/(G8/100)</f>
        <v>2.6034849476439796</v>
      </c>
      <c r="J8" s="26">
        <v>5.6410958904109592</v>
      </c>
      <c r="K8" s="89">
        <f t="shared" si="4"/>
        <v>4.210978403141362</v>
      </c>
      <c r="L8" s="25">
        <v>2323</v>
      </c>
      <c r="M8" s="9">
        <v>60971</v>
      </c>
      <c r="N8" s="23">
        <f t="shared" si="5"/>
        <v>3.8100080366075678E-2</v>
      </c>
      <c r="O8" s="9">
        <v>19536</v>
      </c>
      <c r="P8" s="87">
        <f t="shared" si="6"/>
        <v>0.11890868140868141</v>
      </c>
      <c r="Q8" s="25">
        <v>392</v>
      </c>
      <c r="R8" s="9">
        <v>297</v>
      </c>
      <c r="S8" s="9">
        <v>479</v>
      </c>
      <c r="T8" s="9">
        <v>313</v>
      </c>
      <c r="U8" s="9">
        <f t="shared" si="7"/>
        <v>95</v>
      </c>
      <c r="V8" s="9">
        <f t="shared" si="8"/>
        <v>166</v>
      </c>
      <c r="W8" s="23">
        <f t="shared" si="9"/>
        <v>0.3465553235908142</v>
      </c>
      <c r="X8" s="104">
        <f t="shared" si="10"/>
        <v>0.2423469387755102</v>
      </c>
      <c r="Y8" s="25"/>
      <c r="Z8" s="9"/>
      <c r="AA8" s="10"/>
      <c r="AB8" s="117">
        <v>0.89500000000000002</v>
      </c>
      <c r="AC8" s="85"/>
      <c r="AD8" s="86" t="str">
        <f>IF(AC8/'Data - beräkning av pot vårdpla'!$E$40&lt;=0,"",AC8/((24*7*52)/('Data - beräkning av pot vårdpla'!$E$37*'Data - insamling av data'!$AB8*'Data - beräkning av pot vårdpla'!$E$38)*'Data - beräkning av pot vårdpla'!$E$36))</f>
        <v/>
      </c>
      <c r="AE8" s="105">
        <v>401</v>
      </c>
      <c r="AF8" s="62">
        <v>40</v>
      </c>
      <c r="AG8" s="10">
        <f t="shared" si="12"/>
        <v>9.9750623441396513E-2</v>
      </c>
      <c r="AH8" s="62">
        <f>AG8*Y8</f>
        <v>0</v>
      </c>
      <c r="AI8" s="85">
        <f>AH8-Y8*$AG$30</f>
        <v>0</v>
      </c>
      <c r="AJ8" s="86" t="str">
        <f>IF((AI8/'Data - beräkning av pot vårdpla'!$E$40)*'Data - beräkning av pot vårdpla'!$E$41&gt;0,(AI8/((24*7*52)/('Data - beräkning av pot vårdpla'!$E$37*'Data - insamling av data'!$AB8*'Data - beräkning av pot vårdpla'!$E$38)*'Data - beräkning av pot vårdpla'!$E$36))*'Data - beräkning av pot vårdpla'!$E$41,"")</f>
        <v/>
      </c>
      <c r="AK8" s="106">
        <f t="shared" si="0"/>
        <v>4.2109784031413619E-2</v>
      </c>
      <c r="AL8" s="62">
        <v>5.6410958904109592</v>
      </c>
      <c r="AM8" s="86">
        <f t="shared" si="1"/>
        <v>4.1148391049295725</v>
      </c>
      <c r="AN8" s="25">
        <v>959</v>
      </c>
      <c r="AO8" s="39">
        <v>0.16393162393162394</v>
      </c>
      <c r="AP8" s="8">
        <v>7.4608967674661102</v>
      </c>
      <c r="AQ8" s="9">
        <v>5850</v>
      </c>
      <c r="AR8" s="70">
        <f t="shared" si="13"/>
        <v>240.67165358776049</v>
      </c>
      <c r="AS8" s="78">
        <f t="shared" si="14"/>
        <v>4.9195242802017694</v>
      </c>
      <c r="AT8" s="25">
        <v>320</v>
      </c>
      <c r="AU8" s="39">
        <v>0.10230179028132992</v>
      </c>
      <c r="AV8" s="8">
        <v>5.9406249999999998</v>
      </c>
      <c r="AW8" s="9">
        <v>3128</v>
      </c>
      <c r="AX8" s="70">
        <f t="shared" ref="AX8:AX26" si="29">AT8-($AU$30*AW8)</f>
        <v>47.864000000000033</v>
      </c>
      <c r="AY8" s="78">
        <f t="shared" ref="AY8:AY26" si="30">IF((AX8*AV8)/365&lt;=0,"",(AX8*AV8)/365)</f>
        <v>0.77901938356164435</v>
      </c>
      <c r="AZ8" s="25">
        <v>773</v>
      </c>
      <c r="BA8" s="9">
        <v>16747</v>
      </c>
      <c r="BB8" s="44">
        <f t="shared" si="15"/>
        <v>4615.7520749985079</v>
      </c>
      <c r="BC8" s="8">
        <v>4.6244464127546498</v>
      </c>
      <c r="BD8" s="70">
        <f>((BB8/100000)*BA8)-(($BB$30/100000)*BA8)</f>
        <v>149.1169462040898</v>
      </c>
      <c r="BE8" s="78">
        <f t="shared" si="17"/>
        <v>1.8892693889162497</v>
      </c>
      <c r="BF8" s="25">
        <v>367</v>
      </c>
      <c r="BG8" s="9">
        <v>16608</v>
      </c>
      <c r="BH8" s="44">
        <f t="shared" si="18"/>
        <v>2209.7784200385354</v>
      </c>
      <c r="BI8" s="8">
        <v>5.6621253405994549</v>
      </c>
      <c r="BJ8" s="70">
        <f t="shared" si="19"/>
        <v>122.4171421111038</v>
      </c>
      <c r="BK8" s="78">
        <f t="shared" si="20"/>
        <v>1.8990169930713576</v>
      </c>
      <c r="BL8" s="25">
        <v>47</v>
      </c>
      <c r="BM8" s="9">
        <v>31944</v>
      </c>
      <c r="BN8" s="44">
        <f t="shared" si="21"/>
        <v>147.13248184322563</v>
      </c>
      <c r="BO8" s="8">
        <v>3.4893617021276597</v>
      </c>
      <c r="BP8" s="70">
        <f t="shared" si="22"/>
        <v>14.361033060321638</v>
      </c>
      <c r="BQ8" s="78">
        <f t="shared" si="23"/>
        <v>0.13728996921554931</v>
      </c>
      <c r="BR8" s="25">
        <v>550</v>
      </c>
      <c r="BS8" s="8">
        <v>8.3018181818181827</v>
      </c>
      <c r="BT8" s="39">
        <f t="shared" si="2"/>
        <v>3.311657032755299E-2</v>
      </c>
      <c r="BU8" s="81">
        <v>16608</v>
      </c>
      <c r="BV8" s="70">
        <f t="shared" si="24"/>
        <v>158.72208392146803</v>
      </c>
      <c r="BW8" s="83">
        <f t="shared" si="25"/>
        <v>3.6100873483707252</v>
      </c>
      <c r="BX8" s="73">
        <v>4.1000000000000002E-2</v>
      </c>
      <c r="BY8" s="39">
        <v>9.5666666666666664E-2</v>
      </c>
      <c r="BZ8" s="9">
        <v>10821</v>
      </c>
      <c r="CA8" s="9">
        <f t="shared" si="26"/>
        <v>1035.2090000000001</v>
      </c>
      <c r="CB8" s="70">
        <f t="shared" si="3"/>
        <v>526.62199999999996</v>
      </c>
      <c r="CC8" s="78">
        <f t="shared" si="27"/>
        <v>9.3781999999999996</v>
      </c>
      <c r="CD8" s="104">
        <v>0.30837129652554263</v>
      </c>
      <c r="CE8" s="104">
        <v>0.2281714255714295</v>
      </c>
      <c r="CF8" s="110">
        <v>0</v>
      </c>
      <c r="CG8" s="112">
        <v>1.8390804597701149E-2</v>
      </c>
    </row>
    <row r="9" spans="1:85" ht="11.5" x14ac:dyDescent="0.3">
      <c r="B9" s="1" t="s">
        <v>4</v>
      </c>
      <c r="C9" s="122">
        <v>455.61007674652245</v>
      </c>
      <c r="D9" s="122">
        <v>416.5</v>
      </c>
      <c r="E9" s="123">
        <v>13.25</v>
      </c>
      <c r="F9" s="3">
        <v>0.86028372083068771</v>
      </c>
      <c r="G9" s="90">
        <v>443.47945205479454</v>
      </c>
      <c r="H9" s="26">
        <v>18.621917808219177</v>
      </c>
      <c r="I9" s="89">
        <f t="shared" si="28"/>
        <v>4.1990486192623706</v>
      </c>
      <c r="J9" s="26">
        <v>6.7643835616438359</v>
      </c>
      <c r="K9" s="89">
        <f t="shared" si="4"/>
        <v>1.5252980787051338</v>
      </c>
      <c r="L9" s="25">
        <v>9728</v>
      </c>
      <c r="M9" s="9">
        <v>284558</v>
      </c>
      <c r="N9" s="23">
        <f t="shared" si="5"/>
        <v>3.418635216722074E-2</v>
      </c>
      <c r="O9" s="9">
        <v>44913</v>
      </c>
      <c r="P9" s="87">
        <f t="shared" si="6"/>
        <v>0.21659653107118207</v>
      </c>
      <c r="Q9" s="25">
        <v>779</v>
      </c>
      <c r="R9" s="9">
        <v>528</v>
      </c>
      <c r="S9" s="9">
        <v>879</v>
      </c>
      <c r="T9" s="9">
        <v>617</v>
      </c>
      <c r="U9" s="9">
        <f t="shared" si="7"/>
        <v>251</v>
      </c>
      <c r="V9" s="9">
        <f t="shared" si="8"/>
        <v>262</v>
      </c>
      <c r="W9" s="23">
        <f t="shared" si="9"/>
        <v>0.29806598407280999</v>
      </c>
      <c r="X9" s="104">
        <f t="shared" si="10"/>
        <v>0.32220795892169446</v>
      </c>
      <c r="Y9" s="25">
        <v>1413</v>
      </c>
      <c r="Z9" s="9">
        <v>64</v>
      </c>
      <c r="AA9" s="10">
        <f t="shared" si="11"/>
        <v>4.529370134465676E-2</v>
      </c>
      <c r="AB9" s="117">
        <v>0.92799999999999994</v>
      </c>
      <c r="AC9" s="85">
        <f t="shared" ref="AC9:AC26" si="31">Z9-($AA$30*Y9)</f>
        <v>20.197000000000003</v>
      </c>
      <c r="AD9" s="86">
        <f>IF(AC9/'Data - beräkning av pot vårdpla'!$E$40&lt;=0,"",AC9/((24*7*52)/('Data - beräkning av pot vårdpla'!$E$37*'Data - insamling av data'!$AB9*'Data - beräkning av pot vårdpla'!$E$38)*'Data - beräkning av pot vårdpla'!$E$36))</f>
        <v>20.570755472527473</v>
      </c>
      <c r="AE9" s="105">
        <v>2060</v>
      </c>
      <c r="AF9" s="62">
        <v>142.99999999999997</v>
      </c>
      <c r="AG9" s="10">
        <f t="shared" si="12"/>
        <v>6.941747572815532E-2</v>
      </c>
      <c r="AH9" s="62">
        <f t="shared" ref="AH9:AH26" si="32">AG9*Y9</f>
        <v>98.086893203883463</v>
      </c>
      <c r="AI9" s="85">
        <f t="shared" ref="AI9:AI26" si="33">AH9-Y9*$AG$30</f>
        <v>8.0151800564729854</v>
      </c>
      <c r="AJ9" s="86">
        <f>IF((AI9/'Data - beräkning av pot vårdpla'!$E$40)*'Data - beräkning av pot vårdpla'!$E$41&gt;0,(AI9/((24*7*52)/('Data - beräkning av pot vårdpla'!$E$37*'Data - insamling av data'!$AB9*'Data - beräkning av pot vårdpla'!$E$38)*'Data - beräkning av pot vårdpla'!$E$36))*'Data - beräkning av pot vårdpla'!$E$41,"")</f>
        <v>6.5308039415748773</v>
      </c>
      <c r="AK9" s="106">
        <f t="shared" si="0"/>
        <v>1.5252980787051338E-2</v>
      </c>
      <c r="AL9" s="62">
        <v>6.7643835616438359</v>
      </c>
      <c r="AM9" s="86">
        <f t="shared" si="1"/>
        <v>1.7117169658921965</v>
      </c>
      <c r="AN9" s="25">
        <v>3391</v>
      </c>
      <c r="AO9" s="39">
        <v>0.17035920622959055</v>
      </c>
      <c r="AP9" s="8">
        <v>7.1916838690651721</v>
      </c>
      <c r="AQ9" s="9">
        <v>19905</v>
      </c>
      <c r="AR9" s="70">
        <f t="shared" si="13"/>
        <v>946.84175464348255</v>
      </c>
      <c r="AS9" s="78">
        <f t="shared" si="14"/>
        <v>18.655853625827113</v>
      </c>
      <c r="AT9" s="25">
        <v>1224</v>
      </c>
      <c r="AU9" s="39">
        <v>0.10218734346301553</v>
      </c>
      <c r="AV9" s="8">
        <v>5.5849673202614376</v>
      </c>
      <c r="AW9" s="9">
        <v>11978</v>
      </c>
      <c r="AX9" s="70">
        <f t="shared" si="29"/>
        <v>181.91399999999999</v>
      </c>
      <c r="AY9" s="78">
        <f t="shared" si="30"/>
        <v>2.7835171098576414</v>
      </c>
      <c r="AZ9" s="25">
        <v>3079</v>
      </c>
      <c r="BA9" s="9">
        <v>72154</v>
      </c>
      <c r="BB9" s="44">
        <f t="shared" si="15"/>
        <v>4267.2616902735817</v>
      </c>
      <c r="BC9" s="8">
        <v>4.5764366540936319</v>
      </c>
      <c r="BD9" s="70">
        <f t="shared" si="16"/>
        <v>391.01660813339049</v>
      </c>
      <c r="BE9" s="78">
        <f t="shared" si="17"/>
        <v>4.9026376378657925</v>
      </c>
      <c r="BF9" s="25">
        <v>1468</v>
      </c>
      <c r="BG9" s="9">
        <v>71531</v>
      </c>
      <c r="BH9" s="44">
        <f t="shared" si="18"/>
        <v>2052.2570633711257</v>
      </c>
      <c r="BI9" s="8">
        <v>4.7717983651226161</v>
      </c>
      <c r="BJ9" s="70">
        <f t="shared" si="19"/>
        <v>414.57656504993793</v>
      </c>
      <c r="BK9" s="78">
        <f t="shared" si="20"/>
        <v>5.4199336310231336</v>
      </c>
      <c r="BL9" s="25">
        <v>242</v>
      </c>
      <c r="BM9" s="9">
        <v>151946</v>
      </c>
      <c r="BN9" s="44">
        <f t="shared" si="21"/>
        <v>159.26710805154462</v>
      </c>
      <c r="BO9" s="8">
        <v>3.5909090909090908</v>
      </c>
      <c r="BP9" s="70">
        <f t="shared" si="22"/>
        <v>86.748294809154515</v>
      </c>
      <c r="BQ9" s="78">
        <f t="shared" si="23"/>
        <v>0.85343901493439678</v>
      </c>
      <c r="BR9" s="25">
        <v>1657</v>
      </c>
      <c r="BS9" s="8">
        <v>6.3488231744115868</v>
      </c>
      <c r="BT9" s="39">
        <f t="shared" si="2"/>
        <v>2.3164781703037842E-2</v>
      </c>
      <c r="BU9" s="81">
        <v>71531</v>
      </c>
      <c r="BV9" s="70">
        <f t="shared" si="24"/>
        <v>-28.242089054279404</v>
      </c>
      <c r="BW9" s="83" t="str">
        <f t="shared" si="25"/>
        <v/>
      </c>
      <c r="BX9" s="73">
        <v>2.5000000000000001E-2</v>
      </c>
      <c r="BY9" s="39">
        <v>4.7000000000000007E-2</v>
      </c>
      <c r="BZ9" s="9">
        <v>38006</v>
      </c>
      <c r="CA9" s="9">
        <f t="shared" si="26"/>
        <v>1786.2820000000004</v>
      </c>
      <c r="CB9" s="71">
        <f t="shared" si="3"/>
        <v>0</v>
      </c>
      <c r="CC9" s="78">
        <f t="shared" si="27"/>
        <v>0</v>
      </c>
      <c r="CD9" s="104">
        <v>0.20899693650518134</v>
      </c>
      <c r="CE9" s="104">
        <v>0.27497470908621968</v>
      </c>
      <c r="CF9" s="110">
        <v>1.1857707509881422E-2</v>
      </c>
      <c r="CG9" s="112">
        <v>1.6546762589928057E-2</v>
      </c>
    </row>
    <row r="10" spans="1:85" ht="11.5" x14ac:dyDescent="0.3">
      <c r="B10" s="1" t="s">
        <v>5</v>
      </c>
      <c r="C10" s="122">
        <v>440.47645644593041</v>
      </c>
      <c r="D10" s="122">
        <v>395</v>
      </c>
      <c r="E10" s="123">
        <v>13</v>
      </c>
      <c r="F10" s="3">
        <v>0.8650787803008313</v>
      </c>
      <c r="G10" s="90">
        <v>414.14246575342463</v>
      </c>
      <c r="H10" s="26">
        <v>10.468493150684932</v>
      </c>
      <c r="I10" s="89">
        <f t="shared" si="28"/>
        <v>2.5277516836241913</v>
      </c>
      <c r="J10" s="26">
        <v>6.1068493150684935</v>
      </c>
      <c r="K10" s="89">
        <f t="shared" si="4"/>
        <v>1.4745769439409377</v>
      </c>
      <c r="L10" s="25">
        <v>13088</v>
      </c>
      <c r="M10" s="9">
        <v>345074</v>
      </c>
      <c r="N10" s="23">
        <f t="shared" si="5"/>
        <v>3.7928096582182373E-2</v>
      </c>
      <c r="O10" s="9">
        <v>64357</v>
      </c>
      <c r="P10" s="87">
        <f t="shared" si="6"/>
        <v>0.20336560125549669</v>
      </c>
      <c r="Q10" s="25">
        <v>682</v>
      </c>
      <c r="R10" s="9">
        <v>449</v>
      </c>
      <c r="S10" s="9">
        <v>731</v>
      </c>
      <c r="T10" s="9">
        <v>415</v>
      </c>
      <c r="U10" s="9">
        <f t="shared" si="7"/>
        <v>233</v>
      </c>
      <c r="V10" s="9">
        <f t="shared" si="8"/>
        <v>316</v>
      </c>
      <c r="W10" s="23">
        <f t="shared" si="9"/>
        <v>0.4322845417236662</v>
      </c>
      <c r="X10" s="104">
        <f t="shared" si="10"/>
        <v>0.34164222873900291</v>
      </c>
      <c r="Y10" s="25">
        <v>1329</v>
      </c>
      <c r="Z10" s="9">
        <v>46</v>
      </c>
      <c r="AA10" s="10">
        <f t="shared" si="11"/>
        <v>3.4612490594431902E-2</v>
      </c>
      <c r="AB10" s="117">
        <v>0.90300000000000002</v>
      </c>
      <c r="AC10" s="85">
        <f t="shared" si="31"/>
        <v>4.8010000000000019</v>
      </c>
      <c r="AD10" s="86">
        <f>IF(AC10/'Data - beräkning av pot vårdpla'!$E$40&lt;=0,"",AC10/((24*7*52)/('Data - beräkning av pot vårdpla'!$E$37*'Data - insamling av data'!$AB10*'Data - beräkning av pot vårdpla'!$E$38)*'Data - beräkning av pot vårdpla'!$E$36))</f>
        <v>4.7581141442307722</v>
      </c>
      <c r="AE10" s="105">
        <v>2017</v>
      </c>
      <c r="AF10" s="62">
        <v>145.99999999999997</v>
      </c>
      <c r="AG10" s="10">
        <f t="shared" si="12"/>
        <v>7.2384729796727804E-2</v>
      </c>
      <c r="AH10" s="62">
        <f t="shared" si="32"/>
        <v>96.199305899851254</v>
      </c>
      <c r="AI10" s="85">
        <f t="shared" si="33"/>
        <v>11.482174425747559</v>
      </c>
      <c r="AJ10" s="86">
        <f>IF((AI10/'Data - beräkning av pot vårdpla'!$E$40)*'Data - beräkning av pot vårdpla'!$E$41&gt;0,(AI10/((24*7*52)/('Data - beräkning av pot vårdpla'!$E$37*'Data - insamling av data'!$AB10*'Data - beräkning av pot vårdpla'!$E$38)*'Data - beräkning av pot vårdpla'!$E$36))*'Data - beräkning av pot vårdpla'!$E$41,"")</f>
        <v>9.1036861556632829</v>
      </c>
      <c r="AK10" s="106">
        <f t="shared" si="0"/>
        <v>1.4745769439409378E-2</v>
      </c>
      <c r="AL10" s="62">
        <v>6.1068493150684935</v>
      </c>
      <c r="AM10" s="86">
        <f t="shared" si="1"/>
        <v>1.3884259633232086</v>
      </c>
      <c r="AN10" s="25">
        <v>3231</v>
      </c>
      <c r="AO10" s="39">
        <v>0.15327324478178367</v>
      </c>
      <c r="AP10" s="8">
        <v>6.563912101516558</v>
      </c>
      <c r="AQ10" s="9">
        <v>21080</v>
      </c>
      <c r="AR10" s="70">
        <f t="shared" si="13"/>
        <v>642.56212950940017</v>
      </c>
      <c r="AS10" s="78">
        <f t="shared" si="14"/>
        <v>11.555400925652059</v>
      </c>
      <c r="AT10" s="25">
        <v>1293</v>
      </c>
      <c r="AU10" s="39">
        <v>9.8672161172161169E-2</v>
      </c>
      <c r="AV10" s="8">
        <v>5.3936581593194122</v>
      </c>
      <c r="AW10" s="9">
        <v>13104</v>
      </c>
      <c r="AX10" s="70">
        <f t="shared" si="29"/>
        <v>152.952</v>
      </c>
      <c r="AY10" s="78">
        <f t="shared" si="30"/>
        <v>2.2601939802307474</v>
      </c>
      <c r="AZ10" s="25">
        <v>3154</v>
      </c>
      <c r="BA10" s="9">
        <v>79594</v>
      </c>
      <c r="BB10" s="44">
        <f t="shared" si="15"/>
        <v>3962.610247003543</v>
      </c>
      <c r="BC10" s="8">
        <v>4.3936896632917355</v>
      </c>
      <c r="BD10" s="70">
        <f t="shared" si="16"/>
        <v>188.85115042505004</v>
      </c>
      <c r="BE10" s="78">
        <f t="shared" si="17"/>
        <v>2.2732968425295752</v>
      </c>
      <c r="BF10" s="25">
        <v>1419</v>
      </c>
      <c r="BG10" s="9">
        <v>78177</v>
      </c>
      <c r="BH10" s="44">
        <f t="shared" si="18"/>
        <v>1815.1118615449557</v>
      </c>
      <c r="BI10" s="8">
        <v>4.582804792107118</v>
      </c>
      <c r="BJ10" s="70">
        <f t="shared" si="19"/>
        <v>267.70218682681639</v>
      </c>
      <c r="BK10" s="78">
        <f t="shared" si="20"/>
        <v>3.361169492184902</v>
      </c>
      <c r="BL10" s="25">
        <v>188</v>
      </c>
      <c r="BM10" s="9">
        <v>183997</v>
      </c>
      <c r="BN10" s="44">
        <f t="shared" si="21"/>
        <v>102.17557894965678</v>
      </c>
      <c r="BO10" s="8">
        <v>3.5744680851063828</v>
      </c>
      <c r="BP10" s="70">
        <f t="shared" si="22"/>
        <v>0</v>
      </c>
      <c r="BQ10" s="78" t="str">
        <f t="shared" si="23"/>
        <v/>
      </c>
      <c r="BR10" s="25">
        <v>1993</v>
      </c>
      <c r="BS10" s="8">
        <v>6.9147014550928247</v>
      </c>
      <c r="BT10" s="39">
        <f t="shared" si="2"/>
        <v>2.5493431571945713E-2</v>
      </c>
      <c r="BU10" s="81">
        <v>78177</v>
      </c>
      <c r="BV10" s="70">
        <f t="shared" si="24"/>
        <v>151.18077762094208</v>
      </c>
      <c r="BW10" s="83">
        <f t="shared" si="25"/>
        <v>2.8640272410892957</v>
      </c>
      <c r="BX10" s="73">
        <v>4.3999999999999997E-2</v>
      </c>
      <c r="BY10" s="39">
        <v>2.9499999999999998E-2</v>
      </c>
      <c r="BZ10" s="9">
        <v>41197</v>
      </c>
      <c r="CA10" s="9">
        <f t="shared" si="26"/>
        <v>1215.3115</v>
      </c>
      <c r="CB10" s="70">
        <f t="shared" si="3"/>
        <v>-720.94750000000022</v>
      </c>
      <c r="CC10" s="78" t="str">
        <f t="shared" si="27"/>
        <v/>
      </c>
      <c r="CD10" s="104"/>
      <c r="CE10" s="104"/>
      <c r="CF10" s="110">
        <v>4.8971596474045058E-3</v>
      </c>
      <c r="CG10" s="110">
        <v>2.1108179419525065E-2</v>
      </c>
    </row>
    <row r="11" spans="1:85" ht="11.5" x14ac:dyDescent="0.3">
      <c r="B11" s="1" t="s">
        <v>162</v>
      </c>
      <c r="C11" s="122">
        <v>213</v>
      </c>
      <c r="D11" s="122">
        <v>205.01</v>
      </c>
      <c r="E11" s="123">
        <v>6.375</v>
      </c>
      <c r="F11" s="3">
        <v>0.8615747678712129</v>
      </c>
      <c r="G11" s="90">
        <v>202.50410958904109</v>
      </c>
      <c r="H11" s="26">
        <v>7.7123287671232879</v>
      </c>
      <c r="I11" s="89">
        <f t="shared" si="28"/>
        <v>3.8084801255513163</v>
      </c>
      <c r="J11" s="26">
        <v>2.8849315068493149</v>
      </c>
      <c r="K11" s="89">
        <f t="shared" si="4"/>
        <v>1.4246286224531211</v>
      </c>
      <c r="L11" s="25">
        <v>5361</v>
      </c>
      <c r="M11" s="9">
        <v>132839</v>
      </c>
      <c r="N11" s="23">
        <f t="shared" si="5"/>
        <v>4.0357124037368547E-2</v>
      </c>
      <c r="O11" s="9">
        <v>24557</v>
      </c>
      <c r="P11" s="87">
        <f t="shared" si="6"/>
        <v>0.21830842529624955</v>
      </c>
      <c r="Q11" s="25">
        <v>645</v>
      </c>
      <c r="R11" s="9">
        <v>408</v>
      </c>
      <c r="S11" s="9">
        <v>619</v>
      </c>
      <c r="T11" s="9">
        <v>360</v>
      </c>
      <c r="U11" s="9">
        <f t="shared" si="7"/>
        <v>237</v>
      </c>
      <c r="V11" s="9">
        <f t="shared" si="8"/>
        <v>259</v>
      </c>
      <c r="W11" s="23">
        <f t="shared" si="9"/>
        <v>0.4184168012924071</v>
      </c>
      <c r="X11" s="104">
        <f t="shared" si="10"/>
        <v>0.36744186046511629</v>
      </c>
      <c r="Y11" s="25">
        <v>634</v>
      </c>
      <c r="Z11" s="9">
        <v>22</v>
      </c>
      <c r="AA11" s="10">
        <f t="shared" si="11"/>
        <v>3.4700315457413249E-2</v>
      </c>
      <c r="AB11" s="117">
        <v>0.92</v>
      </c>
      <c r="AC11" s="85">
        <f t="shared" si="31"/>
        <v>2.3460000000000001</v>
      </c>
      <c r="AD11" s="86">
        <f>IF(AC11/'Data - beräkning av pot vårdpla'!$E$40&lt;=0,"",AC11/((24*7*52)/('Data - beräkning av pot vårdpla'!$E$37*'Data - insamling av data'!$AB11*'Data - beräkning av pot vårdpla'!$E$38)*'Data - beräkning av pot vårdpla'!$E$36))</f>
        <v>2.3688154945054949</v>
      </c>
      <c r="AE11" s="105">
        <v>1004</v>
      </c>
      <c r="AF11" s="62">
        <v>64.000000000000085</v>
      </c>
      <c r="AG11" s="10">
        <f t="shared" si="12"/>
        <v>6.3745019920318807E-2</v>
      </c>
      <c r="AH11" s="62">
        <f t="shared" si="32"/>
        <v>40.414342629482121</v>
      </c>
      <c r="AI11" s="85">
        <f t="shared" si="33"/>
        <v>0</v>
      </c>
      <c r="AJ11" s="86" t="str">
        <f>IF((AI11/'Data - beräkning av pot vårdpla'!$E$40)*'Data - beräkning av pot vårdpla'!$E$41&gt;0,(AI11/((24*7*52)/('Data - beräkning av pot vårdpla'!$E$37*'Data - insamling av data'!$AB11*'Data - beräkning av pot vårdpla'!$E$38)*'Data - beräkning av pot vårdpla'!$E$36))*'Data - beräkning av pot vårdpla'!$E$41,"")</f>
        <v/>
      </c>
      <c r="AK11" s="106">
        <f t="shared" si="0"/>
        <v>1.4246286224531212E-2</v>
      </c>
      <c r="AL11" s="62">
        <v>2.8849315068493149</v>
      </c>
      <c r="AM11" s="86">
        <f t="shared" si="1"/>
        <v>0.57775414996794927</v>
      </c>
      <c r="AN11" s="25">
        <v>934</v>
      </c>
      <c r="AO11" s="39">
        <v>0.10400890868596882</v>
      </c>
      <c r="AP11" s="8">
        <v>6.872591006423983</v>
      </c>
      <c r="AQ11" s="9">
        <v>8980</v>
      </c>
      <c r="AR11" s="70">
        <f t="shared" si="13"/>
        <v>-168.66470953536941</v>
      </c>
      <c r="AS11" s="78" t="str">
        <f t="shared" si="14"/>
        <v/>
      </c>
      <c r="AT11" s="25">
        <v>454</v>
      </c>
      <c r="AU11" s="39">
        <v>7.9107858511935872E-2</v>
      </c>
      <c r="AV11" s="8">
        <v>5.5132158590308373</v>
      </c>
      <c r="AW11" s="9">
        <v>5739</v>
      </c>
      <c r="AX11" s="70">
        <f t="shared" si="29"/>
        <v>-45.29299999999995</v>
      </c>
      <c r="AY11" s="78" t="str">
        <f t="shared" si="30"/>
        <v/>
      </c>
      <c r="AZ11" s="25">
        <v>1325</v>
      </c>
      <c r="BA11" s="9">
        <v>32378</v>
      </c>
      <c r="BB11" s="44">
        <f t="shared" si="15"/>
        <v>4092.2848847983196</v>
      </c>
      <c r="BC11" s="8">
        <v>4.6670341786108045</v>
      </c>
      <c r="BD11" s="70">
        <f t="shared" si="16"/>
        <v>118.80871106443033</v>
      </c>
      <c r="BE11" s="78">
        <f t="shared" si="17"/>
        <v>1.5191351102860053</v>
      </c>
      <c r="BF11" s="25">
        <v>449</v>
      </c>
      <c r="BG11" s="9">
        <v>32038</v>
      </c>
      <c r="BH11" s="44">
        <f t="shared" si="18"/>
        <v>1401.4607653411574</v>
      </c>
      <c r="BI11" s="8">
        <v>5.5478841870824054</v>
      </c>
      <c r="BJ11" s="70">
        <f t="shared" si="19"/>
        <v>-22.817533781578391</v>
      </c>
      <c r="BK11" s="78" t="str">
        <f t="shared" si="20"/>
        <v/>
      </c>
      <c r="BL11" s="25">
        <v>79</v>
      </c>
      <c r="BM11" s="9">
        <v>71163</v>
      </c>
      <c r="BN11" s="44">
        <f t="shared" si="21"/>
        <v>111.01274538735017</v>
      </c>
      <c r="BO11" s="8">
        <v>4.0632911392405067</v>
      </c>
      <c r="BP11" s="70">
        <f t="shared" si="22"/>
        <v>6.2887927520557412</v>
      </c>
      <c r="BQ11" s="78">
        <f t="shared" si="23"/>
        <v>7.0008755797117836E-2</v>
      </c>
      <c r="BR11" s="25">
        <v>936</v>
      </c>
      <c r="BS11" s="8">
        <v>7.0128205128205128</v>
      </c>
      <c r="BT11" s="39">
        <f t="shared" si="2"/>
        <v>2.9215306823147512E-2</v>
      </c>
      <c r="BU11" s="81">
        <v>32038</v>
      </c>
      <c r="BV11" s="70">
        <f t="shared" si="24"/>
        <v>181.19738226613629</v>
      </c>
      <c r="BW11" s="83">
        <f t="shared" si="25"/>
        <v>3.4813827923981928</v>
      </c>
      <c r="BX11" s="73"/>
      <c r="BY11" s="39">
        <v>4.759999999999999E-2</v>
      </c>
      <c r="BZ11" s="9">
        <v>17235</v>
      </c>
      <c r="CA11" s="9">
        <f t="shared" si="26"/>
        <v>820.38599999999985</v>
      </c>
      <c r="CB11" s="70">
        <f t="shared" si="3"/>
        <v>10.340999999999781</v>
      </c>
      <c r="CC11" s="78">
        <f t="shared" si="27"/>
        <v>0.18415479452054404</v>
      </c>
      <c r="CD11" s="104">
        <v>0.32509818764022913</v>
      </c>
      <c r="CE11" s="104">
        <v>0.32063757149031868</v>
      </c>
      <c r="CF11" s="110">
        <v>0</v>
      </c>
      <c r="CG11" s="110">
        <v>2.5316455696202531E-2</v>
      </c>
    </row>
    <row r="12" spans="1:85" ht="11.5" x14ac:dyDescent="0.3">
      <c r="B12" s="1" t="s">
        <v>6</v>
      </c>
      <c r="C12" s="122">
        <v>509.14619850839983</v>
      </c>
      <c r="D12" s="122">
        <v>528</v>
      </c>
      <c r="E12" s="123">
        <v>15.5</v>
      </c>
      <c r="F12" s="3">
        <v>0.86143597543800354</v>
      </c>
      <c r="G12" s="90">
        <v>529.83287671232881</v>
      </c>
      <c r="H12" s="26">
        <v>6.0465753424657533</v>
      </c>
      <c r="I12" s="89">
        <f t="shared" si="28"/>
        <v>1.1412231305813669</v>
      </c>
      <c r="J12" s="26">
        <v>5.9534246575342467</v>
      </c>
      <c r="K12" s="89">
        <f t="shared" si="4"/>
        <v>1.1236419858420075</v>
      </c>
      <c r="L12" s="25">
        <v>7740</v>
      </c>
      <c r="M12" s="9">
        <v>370009</v>
      </c>
      <c r="N12" s="23">
        <f t="shared" si="5"/>
        <v>2.0918410092727473E-2</v>
      </c>
      <c r="O12" s="9">
        <v>69558</v>
      </c>
      <c r="P12" s="87">
        <f t="shared" si="6"/>
        <v>0.11127404468213577</v>
      </c>
      <c r="Q12" s="25">
        <v>647</v>
      </c>
      <c r="R12" s="9">
        <v>558</v>
      </c>
      <c r="S12" s="9">
        <v>829</v>
      </c>
      <c r="T12" s="9">
        <v>675</v>
      </c>
      <c r="U12" s="9">
        <f t="shared" si="7"/>
        <v>89</v>
      </c>
      <c r="V12" s="9">
        <f t="shared" si="8"/>
        <v>154</v>
      </c>
      <c r="W12" s="23">
        <f t="shared" si="9"/>
        <v>0.18576598311218334</v>
      </c>
      <c r="X12" s="104">
        <f t="shared" si="10"/>
        <v>0.13755795981452859</v>
      </c>
      <c r="Y12" s="25">
        <v>1897</v>
      </c>
      <c r="Z12" s="9">
        <v>58</v>
      </c>
      <c r="AA12" s="10">
        <f t="shared" si="11"/>
        <v>3.0574591460200317E-2</v>
      </c>
      <c r="AB12" s="117">
        <v>0.89800000000000002</v>
      </c>
      <c r="AC12" s="85">
        <f t="shared" si="31"/>
        <v>-0.80700000000000216</v>
      </c>
      <c r="AD12" s="86" t="str">
        <f>IF(AC12/'Data - beräkning av pot vårdpla'!$E$40&lt;=0,"",AC12/((24*7*52)/('Data - beräkning av pot vårdpla'!$E$37*'Data - insamling av data'!$AB12*'Data - beräkning av pot vårdpla'!$E$38)*'Data - beräkning av pot vårdpla'!$E$36))</f>
        <v/>
      </c>
      <c r="AE12" s="105">
        <v>2774</v>
      </c>
      <c r="AF12" s="62">
        <v>178.00000000000014</v>
      </c>
      <c r="AG12" s="10">
        <f t="shared" si="12"/>
        <v>6.416726748377799E-2</v>
      </c>
      <c r="AH12" s="62">
        <f t="shared" si="32"/>
        <v>121.72530641672685</v>
      </c>
      <c r="AI12" s="85">
        <f t="shared" si="33"/>
        <v>0.8010036278820678</v>
      </c>
      <c r="AJ12" s="86">
        <f>IF((AI12/'Data - beräkning av pot vårdpla'!$E$40)*'Data - beräkning av pot vårdpla'!$E$41&gt;0,(AI12/((24*7*52)/('Data - beräkning av pot vårdpla'!$E$37*'Data - insamling av data'!$AB12*'Data - beräkning av pot vårdpla'!$E$38)*'Data - beräkning av pot vårdpla'!$E$36))*'Data - beräkning av pot vårdpla'!$E$41,"")</f>
        <v>0.63156231320070266</v>
      </c>
      <c r="AK12" s="106">
        <f t="shared" si="0"/>
        <v>1.1236419858420076E-2</v>
      </c>
      <c r="AL12" s="62">
        <v>5.9534246575342467</v>
      </c>
      <c r="AM12" s="86" t="str">
        <f t="shared" si="1"/>
        <v/>
      </c>
      <c r="AN12" s="25">
        <v>3879</v>
      </c>
      <c r="AO12" s="39">
        <v>0.16523961661341854</v>
      </c>
      <c r="AP12" s="8">
        <v>6.9819541118845061</v>
      </c>
      <c r="AQ12" s="9">
        <v>23475</v>
      </c>
      <c r="AR12" s="70">
        <f t="shared" si="13"/>
        <v>996.47727657652604</v>
      </c>
      <c r="AS12" s="78">
        <f t="shared" si="14"/>
        <v>19.061256489295754</v>
      </c>
      <c r="AT12" s="25">
        <v>1833</v>
      </c>
      <c r="AU12" s="39">
        <v>0.11245398773006135</v>
      </c>
      <c r="AV12" s="8">
        <v>5.2542280414620839</v>
      </c>
      <c r="AW12" s="9">
        <v>16300</v>
      </c>
      <c r="AX12" s="70">
        <f t="shared" si="29"/>
        <v>414.90000000000009</v>
      </c>
      <c r="AY12" s="78">
        <f t="shared" si="30"/>
        <v>5.9725457928838885</v>
      </c>
      <c r="AZ12" s="25">
        <v>3811</v>
      </c>
      <c r="BA12" s="9">
        <v>79863</v>
      </c>
      <c r="BB12" s="44">
        <f t="shared" si="15"/>
        <v>4771.9219162816325</v>
      </c>
      <c r="BC12" s="8">
        <v>4.5095255883451628</v>
      </c>
      <c r="BD12" s="70">
        <f t="shared" si="16"/>
        <v>835.82997997833718</v>
      </c>
      <c r="BE12" s="78">
        <f t="shared" si="17"/>
        <v>10.326566252652977</v>
      </c>
      <c r="BF12" s="25">
        <v>1401</v>
      </c>
      <c r="BG12" s="9">
        <v>78799</v>
      </c>
      <c r="BH12" s="44">
        <f t="shared" si="18"/>
        <v>1777.9413444333052</v>
      </c>
      <c r="BI12" s="8">
        <v>4.7958600999286221</v>
      </c>
      <c r="BJ12" s="70">
        <f t="shared" si="19"/>
        <v>240.54211110385791</v>
      </c>
      <c r="BK12" s="78">
        <f t="shared" si="20"/>
        <v>3.1605652410838072</v>
      </c>
      <c r="BL12" s="25">
        <v>260</v>
      </c>
      <c r="BM12" s="9">
        <v>202026</v>
      </c>
      <c r="BN12" s="44">
        <f t="shared" si="21"/>
        <v>128.69630641600585</v>
      </c>
      <c r="BO12" s="8">
        <v>4.0384615384615383</v>
      </c>
      <c r="BP12" s="70">
        <f t="shared" si="22"/>
        <v>53.578764871166385</v>
      </c>
      <c r="BQ12" s="78">
        <f t="shared" si="23"/>
        <v>0.5928103594807661</v>
      </c>
      <c r="BR12" s="25">
        <v>2129</v>
      </c>
      <c r="BS12" s="8">
        <v>6.3673085955847819</v>
      </c>
      <c r="BT12" s="39">
        <f t="shared" si="2"/>
        <v>2.7018109366870137E-2</v>
      </c>
      <c r="BU12" s="81">
        <v>78799</v>
      </c>
      <c r="BV12" s="70">
        <f t="shared" si="24"/>
        <v>272.52670345181582</v>
      </c>
      <c r="BW12" s="83">
        <f t="shared" si="25"/>
        <v>4.7541414285346075</v>
      </c>
      <c r="BX12" s="73">
        <v>7.3999999999999996E-2</v>
      </c>
      <c r="BY12" s="39">
        <v>6.2166666666666669E-2</v>
      </c>
      <c r="BZ12" s="9">
        <v>47805</v>
      </c>
      <c r="CA12" s="9">
        <f t="shared" si="26"/>
        <v>2971.8775000000001</v>
      </c>
      <c r="CB12" s="70">
        <f t="shared" si="3"/>
        <v>725.04249999999956</v>
      </c>
      <c r="CC12" s="78">
        <f t="shared" si="27"/>
        <v>12.91171575342465</v>
      </c>
      <c r="CD12" s="104">
        <v>0.24480497494279657</v>
      </c>
      <c r="CE12" s="104">
        <v>0.34090472489662876</v>
      </c>
      <c r="CF12" s="110">
        <v>1.6694490818030049E-2</v>
      </c>
      <c r="CG12" s="110">
        <v>2.7565084226646247E-2</v>
      </c>
    </row>
    <row r="13" spans="1:85" ht="11.5" x14ac:dyDescent="0.3">
      <c r="B13" s="1" t="s">
        <v>7</v>
      </c>
      <c r="C13" s="122">
        <v>363.16678455375148</v>
      </c>
      <c r="D13" s="122">
        <v>403</v>
      </c>
      <c r="E13" s="123">
        <v>11.714285714285714</v>
      </c>
      <c r="F13" s="3">
        <v>0.88144480633186229</v>
      </c>
      <c r="G13" s="90">
        <v>416.05205479452053</v>
      </c>
      <c r="H13" s="26">
        <v>1.6219178082191781</v>
      </c>
      <c r="I13" s="89">
        <f t="shared" si="28"/>
        <v>0.38983530775258629</v>
      </c>
      <c r="J13" s="26">
        <v>2.7260273972602738</v>
      </c>
      <c r="K13" s="89">
        <f t="shared" si="4"/>
        <v>0.65521305948280961</v>
      </c>
      <c r="L13" s="25">
        <v>7920</v>
      </c>
      <c r="M13" s="9">
        <v>246352</v>
      </c>
      <c r="N13" s="23">
        <f t="shared" si="5"/>
        <v>3.2149119958433461E-2</v>
      </c>
      <c r="O13" s="9">
        <v>52080</v>
      </c>
      <c r="P13" s="87">
        <f t="shared" si="6"/>
        <v>0.15207373271889402</v>
      </c>
      <c r="Q13" s="25">
        <v>862</v>
      </c>
      <c r="R13" s="9">
        <v>653</v>
      </c>
      <c r="S13" s="9">
        <v>682</v>
      </c>
      <c r="T13" s="9">
        <v>524</v>
      </c>
      <c r="U13" s="9">
        <f t="shared" si="7"/>
        <v>209</v>
      </c>
      <c r="V13" s="9">
        <f t="shared" si="8"/>
        <v>158</v>
      </c>
      <c r="W13" s="23">
        <f t="shared" si="9"/>
        <v>0.2316715542521994</v>
      </c>
      <c r="X13" s="104">
        <f t="shared" si="10"/>
        <v>0.24245939675174014</v>
      </c>
      <c r="Y13" s="25">
        <v>1202</v>
      </c>
      <c r="Z13" s="9">
        <v>33</v>
      </c>
      <c r="AA13" s="10">
        <f t="shared" si="11"/>
        <v>2.7454242928452579E-2</v>
      </c>
      <c r="AB13" s="117">
        <v>0.91200000000000003</v>
      </c>
      <c r="AC13" s="85">
        <f t="shared" si="31"/>
        <v>-4.2620000000000005</v>
      </c>
      <c r="AD13" s="86" t="str">
        <f>IF(AC13/'Data - beräkning av pot vårdpla'!$E$40&lt;=0,"",AC13/((24*7*52)/('Data - beräkning av pot vårdpla'!$E$37*'Data - insamling av data'!$AB13*'Data - beräkning av pot vårdpla'!$E$38)*'Data - beräkning av pot vårdpla'!$E$36))</f>
        <v/>
      </c>
      <c r="AE13" s="105">
        <v>1883</v>
      </c>
      <c r="AF13" s="62">
        <v>109.00000000000009</v>
      </c>
      <c r="AG13" s="10">
        <f t="shared" si="12"/>
        <v>5.7886351566649008E-2</v>
      </c>
      <c r="AH13" s="62">
        <f t="shared" si="32"/>
        <v>69.579394583112105</v>
      </c>
      <c r="AI13" s="85">
        <f t="shared" si="33"/>
        <v>-7.042119361111105</v>
      </c>
      <c r="AJ13" s="86" t="str">
        <f>IF((AI13/'Data - beräkning av pot vårdpla'!$E$40)*'Data - beräkning av pot vårdpla'!$E$41&gt;0,(AI13/((24*7*52)/('Data - beräkning av pot vårdpla'!$E$37*'Data - insamling av data'!$AB13*'Data - beräkning av pot vårdpla'!$E$38)*'Data - beräkning av pot vårdpla'!$E$36))*'Data - beräkning av pot vårdpla'!$E$41,"")</f>
        <v/>
      </c>
      <c r="AK13" s="106">
        <f t="shared" si="0"/>
        <v>6.5521305948280971E-3</v>
      </c>
      <c r="AL13" s="62">
        <v>2.7260273972602738</v>
      </c>
      <c r="AM13" s="86" t="str">
        <f t="shared" si="1"/>
        <v/>
      </c>
      <c r="AN13" s="25">
        <v>2676</v>
      </c>
      <c r="AO13" s="39">
        <v>0.13554171098617232</v>
      </c>
      <c r="AP13" s="8">
        <v>5.8811659192825116</v>
      </c>
      <c r="AQ13" s="9">
        <v>19743</v>
      </c>
      <c r="AR13" s="70">
        <f t="shared" si="13"/>
        <v>251.73392423643645</v>
      </c>
      <c r="AS13" s="78">
        <f t="shared" si="14"/>
        <v>4.0561341806755502</v>
      </c>
      <c r="AT13" s="25">
        <v>988</v>
      </c>
      <c r="AU13" s="39">
        <v>8.7511071744906993E-2</v>
      </c>
      <c r="AV13" s="8">
        <v>4.6882591093117387</v>
      </c>
      <c r="AW13" s="9">
        <v>11290</v>
      </c>
      <c r="AX13" s="70">
        <f t="shared" si="29"/>
        <v>5.7700000000000955</v>
      </c>
      <c r="AY13" s="78">
        <f t="shared" si="30"/>
        <v>7.411302756364159E-2</v>
      </c>
      <c r="AZ13" s="25">
        <v>3303</v>
      </c>
      <c r="BA13" s="9">
        <v>64879</v>
      </c>
      <c r="BB13" s="44">
        <f t="shared" si="15"/>
        <v>5091.0155828542365</v>
      </c>
      <c r="BC13" s="8">
        <v>4.031361070457872</v>
      </c>
      <c r="BD13" s="70">
        <f t="shared" si="16"/>
        <v>886.03525125545684</v>
      </c>
      <c r="BE13" s="78">
        <f t="shared" si="17"/>
        <v>9.78610416154687</v>
      </c>
      <c r="BF13" s="25">
        <v>1189</v>
      </c>
      <c r="BG13" s="9">
        <v>64162</v>
      </c>
      <c r="BH13" s="44">
        <f t="shared" si="18"/>
        <v>1853.1217854805025</v>
      </c>
      <c r="BI13" s="8">
        <v>3.966358284272498</v>
      </c>
      <c r="BJ13" s="70">
        <f t="shared" si="19"/>
        <v>244.09842679026042</v>
      </c>
      <c r="BK13" s="78">
        <f t="shared" si="20"/>
        <v>2.6525529240477623</v>
      </c>
      <c r="BL13" s="25">
        <v>219</v>
      </c>
      <c r="BM13" s="9">
        <v>129033</v>
      </c>
      <c r="BN13" s="44">
        <f t="shared" si="21"/>
        <v>169.7240240868615</v>
      </c>
      <c r="BO13" s="8">
        <v>3.9680365296803655</v>
      </c>
      <c r="BP13" s="70">
        <f t="shared" si="22"/>
        <v>87.159785213889364</v>
      </c>
      <c r="BQ13" s="78">
        <f t="shared" si="23"/>
        <v>0.94754304561043179</v>
      </c>
      <c r="BR13" s="25">
        <v>1600</v>
      </c>
      <c r="BS13" s="8">
        <v>6.225625</v>
      </c>
      <c r="BT13" s="39">
        <f t="shared" si="2"/>
        <v>2.4936878526230478E-2</v>
      </c>
      <c r="BU13" s="81">
        <v>64162</v>
      </c>
      <c r="BV13" s="70">
        <f t="shared" si="24"/>
        <v>88.368638521750427</v>
      </c>
      <c r="BW13" s="83">
        <f t="shared" si="25"/>
        <v>1.5072602882108836</v>
      </c>
      <c r="BX13" s="73">
        <v>0.06</v>
      </c>
      <c r="BY13" s="39">
        <v>4.2000000000000003E-2</v>
      </c>
      <c r="BZ13" s="9">
        <v>37946</v>
      </c>
      <c r="CA13" s="9">
        <f t="shared" si="26"/>
        <v>1593.7320000000002</v>
      </c>
      <c r="CB13" s="70">
        <f t="shared" si="3"/>
        <v>-189.73000000000002</v>
      </c>
      <c r="CC13" s="78" t="str">
        <f t="shared" si="27"/>
        <v/>
      </c>
      <c r="CD13" s="104">
        <v>0.32071360413824274</v>
      </c>
      <c r="CE13" s="104">
        <v>0.3540380378224004</v>
      </c>
      <c r="CF13" s="110">
        <v>2.9296875E-3</v>
      </c>
      <c r="CG13" s="110">
        <v>2.2583559168925023E-2</v>
      </c>
    </row>
    <row r="14" spans="1:85" ht="11.5" x14ac:dyDescent="0.3">
      <c r="B14" s="1" t="s">
        <v>8</v>
      </c>
      <c r="C14" s="122">
        <v>279.60760718781773</v>
      </c>
      <c r="D14" s="122">
        <v>257.7</v>
      </c>
      <c r="E14" s="123">
        <v>7.1904761904761907</v>
      </c>
      <c r="F14" s="3">
        <v>0.86371240601503763</v>
      </c>
      <c r="G14" s="90">
        <v>262.46575342465752</v>
      </c>
      <c r="H14" s="26">
        <v>6.1205479452054794</v>
      </c>
      <c r="I14" s="89">
        <f t="shared" si="28"/>
        <v>2.3319415448851779</v>
      </c>
      <c r="J14" s="26">
        <v>8.0356164383561648</v>
      </c>
      <c r="K14" s="89">
        <f t="shared" si="4"/>
        <v>3.0615866388308981</v>
      </c>
      <c r="L14" s="25">
        <v>7945</v>
      </c>
      <c r="M14" s="9">
        <v>203351</v>
      </c>
      <c r="N14" s="23">
        <f t="shared" si="5"/>
        <v>3.9070375852589857E-2</v>
      </c>
      <c r="O14" s="9">
        <v>37645</v>
      </c>
      <c r="P14" s="87">
        <f t="shared" si="6"/>
        <v>0.21105060432992429</v>
      </c>
      <c r="Q14" s="25">
        <v>477</v>
      </c>
      <c r="R14" s="9">
        <v>319</v>
      </c>
      <c r="S14" s="9">
        <v>486</v>
      </c>
      <c r="T14" s="9">
        <v>324</v>
      </c>
      <c r="U14" s="9">
        <f t="shared" si="7"/>
        <v>158</v>
      </c>
      <c r="V14" s="9">
        <f t="shared" si="8"/>
        <v>162</v>
      </c>
      <c r="W14" s="23">
        <f t="shared" si="9"/>
        <v>0.33333333333333331</v>
      </c>
      <c r="X14" s="104">
        <f t="shared" si="10"/>
        <v>0.33123689727463312</v>
      </c>
      <c r="Y14" s="25">
        <v>928</v>
      </c>
      <c r="Z14" s="9">
        <v>29</v>
      </c>
      <c r="AA14" s="10">
        <f t="shared" si="11"/>
        <v>3.125E-2</v>
      </c>
      <c r="AB14" s="117">
        <v>0.89800000000000002</v>
      </c>
      <c r="AC14" s="85">
        <f t="shared" si="31"/>
        <v>0.23199999999999932</v>
      </c>
      <c r="AD14" s="86">
        <f>IF(AC14/'Data - beräkning av pot vårdpla'!$E$40&lt;=0,"",AC14/((24*7*52)/('Data - beräkning av pot vårdpla'!$E$37*'Data - insamling av data'!$AB14*'Data - beräkning av pot vårdpla'!$E$38)*'Data - beräkning av pot vårdpla'!$E$36))</f>
        <v>0.22865448351648285</v>
      </c>
      <c r="AE14" s="105">
        <v>1476</v>
      </c>
      <c r="AF14" s="62">
        <v>110.00000000000003</v>
      </c>
      <c r="AG14" s="10">
        <f t="shared" si="12"/>
        <v>7.4525745257452591E-2</v>
      </c>
      <c r="AH14" s="62">
        <f t="shared" si="32"/>
        <v>69.159891598916005</v>
      </c>
      <c r="AI14" s="85">
        <f t="shared" si="33"/>
        <v>10.004513112860153</v>
      </c>
      <c r="AJ14" s="86">
        <f>IF((AI14/'Data - beräkning av pot vårdpla'!$E$40)*'Data - beräkning av pot vårdpla'!$E$41&gt;0,(AI14/((24*7*52)/('Data - beräkning av pot vårdpla'!$E$37*'Data - insamling av data'!$AB14*'Data - beräkning av pot vårdpla'!$E$38)*'Data - beräkning av pot vårdpla'!$E$36))*'Data - beräkning av pot vårdpla'!$E$41,"")</f>
        <v>7.888195788465258</v>
      </c>
      <c r="AK14" s="106">
        <f t="shared" si="0"/>
        <v>3.0615866388308981E-2</v>
      </c>
      <c r="AL14" s="62">
        <v>8.0356164383561648</v>
      </c>
      <c r="AM14" s="86">
        <f t="shared" si="1"/>
        <v>5.0452818496553125</v>
      </c>
      <c r="AN14" s="25">
        <v>1813</v>
      </c>
      <c r="AO14" s="39">
        <v>0.14733848029256399</v>
      </c>
      <c r="AP14" s="8">
        <v>7.543849972421401</v>
      </c>
      <c r="AQ14" s="9">
        <v>12305</v>
      </c>
      <c r="AR14" s="70">
        <f t="shared" si="13"/>
        <v>302.05464912775938</v>
      </c>
      <c r="AS14" s="78">
        <f t="shared" si="14"/>
        <v>6.2428902917594611</v>
      </c>
      <c r="AT14" s="25">
        <v>861</v>
      </c>
      <c r="AU14" s="39">
        <v>0.10276915731678204</v>
      </c>
      <c r="AV14" s="8">
        <v>5.7270615563298488</v>
      </c>
      <c r="AW14" s="9">
        <v>8378</v>
      </c>
      <c r="AX14" s="70">
        <f t="shared" si="29"/>
        <v>132.11400000000003</v>
      </c>
      <c r="AY14" s="78">
        <f t="shared" si="30"/>
        <v>2.0729452341177037</v>
      </c>
      <c r="AZ14" s="25">
        <v>1898</v>
      </c>
      <c r="BA14" s="9">
        <v>44823</v>
      </c>
      <c r="BB14" s="44">
        <f t="shared" si="15"/>
        <v>4234.4332150904665</v>
      </c>
      <c r="BC14" s="8">
        <v>4.7435897435897436</v>
      </c>
      <c r="BD14" s="70">
        <f t="shared" si="16"/>
        <v>228.18987757245532</v>
      </c>
      <c r="BE14" s="78">
        <f t="shared" si="17"/>
        <v>2.9655867475169817</v>
      </c>
      <c r="BF14" s="25">
        <v>823</v>
      </c>
      <c r="BG14" s="9">
        <v>44300</v>
      </c>
      <c r="BH14" s="44">
        <f t="shared" si="18"/>
        <v>1857.7878103837472</v>
      </c>
      <c r="BI14" s="8">
        <v>5.9453219927095988</v>
      </c>
      <c r="BJ14" s="70">
        <f t="shared" si="19"/>
        <v>170.60232391148247</v>
      </c>
      <c r="BK14" s="78">
        <f t="shared" si="20"/>
        <v>2.7788650639953518</v>
      </c>
      <c r="BL14" s="25">
        <v>161</v>
      </c>
      <c r="BM14" s="9">
        <v>111091</v>
      </c>
      <c r="BN14" s="44">
        <f t="shared" si="21"/>
        <v>144.92623164792826</v>
      </c>
      <c r="BO14" s="8">
        <v>4.4720496894409933</v>
      </c>
      <c r="BP14" s="70">
        <f t="shared" si="22"/>
        <v>47.492127589036784</v>
      </c>
      <c r="BQ14" s="78">
        <f t="shared" si="23"/>
        <v>0.5818826148916274</v>
      </c>
      <c r="BR14" s="25">
        <v>1217</v>
      </c>
      <c r="BS14" s="8">
        <v>8.7378800328677073</v>
      </c>
      <c r="BT14" s="39">
        <f t="shared" si="2"/>
        <v>2.7471783295711059E-2</v>
      </c>
      <c r="BU14" s="81">
        <v>44300</v>
      </c>
      <c r="BV14" s="70">
        <f t="shared" si="24"/>
        <v>173.30950853329909</v>
      </c>
      <c r="BW14" s="83">
        <f t="shared" si="25"/>
        <v>4.1489251893677528</v>
      </c>
      <c r="BX14" s="73">
        <v>3.3000000000000002E-2</v>
      </c>
      <c r="BY14" s="39">
        <v>5.3333333333333344E-2</v>
      </c>
      <c r="BZ14" s="9">
        <v>26209</v>
      </c>
      <c r="CA14" s="9">
        <f t="shared" si="26"/>
        <v>1397.8133333333335</v>
      </c>
      <c r="CB14" s="70">
        <f t="shared" si="3"/>
        <v>165.99033333333341</v>
      </c>
      <c r="CC14" s="78">
        <f t="shared" si="27"/>
        <v>2.9559922374429233</v>
      </c>
      <c r="CD14" s="104">
        <v>0.28213632194707289</v>
      </c>
      <c r="CE14" s="104">
        <v>0.31202750692273851</v>
      </c>
      <c r="CF14" s="110">
        <v>1.107011070110701E-2</v>
      </c>
      <c r="CG14" s="110">
        <v>9.8199672667757774E-3</v>
      </c>
    </row>
    <row r="15" spans="1:85" ht="11.5" x14ac:dyDescent="0.3">
      <c r="B15" s="1" t="s">
        <v>9</v>
      </c>
      <c r="C15" s="122">
        <v>412.24751863587545</v>
      </c>
      <c r="D15" s="122">
        <v>363</v>
      </c>
      <c r="E15" s="123">
        <v>12.75</v>
      </c>
      <c r="F15" s="3">
        <v>0.85819910302570901</v>
      </c>
      <c r="G15" s="90">
        <v>324.28493150684932</v>
      </c>
      <c r="H15" s="26">
        <v>28.989041095890411</v>
      </c>
      <c r="I15" s="89">
        <f t="shared" si="28"/>
        <v>8.9393734581460578</v>
      </c>
      <c r="J15" s="26">
        <v>3.9178082191780823</v>
      </c>
      <c r="K15" s="89">
        <f t="shared" si="4"/>
        <v>1.2081376094082661</v>
      </c>
      <c r="L15" s="25">
        <v>6945</v>
      </c>
      <c r="M15" s="9">
        <v>248620</v>
      </c>
      <c r="N15" s="23">
        <f t="shared" si="5"/>
        <v>2.7934196766149142E-2</v>
      </c>
      <c r="O15" s="9">
        <v>44895</v>
      </c>
      <c r="P15" s="87">
        <f t="shared" si="6"/>
        <v>0.15469428666889409</v>
      </c>
      <c r="Q15" s="25">
        <v>1002</v>
      </c>
      <c r="R15" s="9">
        <v>426</v>
      </c>
      <c r="S15" s="9">
        <v>985</v>
      </c>
      <c r="T15" s="9">
        <v>542</v>
      </c>
      <c r="U15" s="9">
        <f t="shared" si="7"/>
        <v>576</v>
      </c>
      <c r="V15" s="9">
        <f t="shared" si="8"/>
        <v>443</v>
      </c>
      <c r="W15" s="23">
        <f t="shared" si="9"/>
        <v>0.44974619289340101</v>
      </c>
      <c r="X15" s="104">
        <f t="shared" si="10"/>
        <v>0.57485029940119758</v>
      </c>
      <c r="Y15" s="25">
        <v>1262</v>
      </c>
      <c r="Z15" s="9">
        <v>48</v>
      </c>
      <c r="AA15" s="10">
        <f t="shared" si="11"/>
        <v>3.8034865293185421E-2</v>
      </c>
      <c r="AB15" s="117">
        <v>0.93</v>
      </c>
      <c r="AC15" s="85">
        <f t="shared" si="31"/>
        <v>8.8780000000000001</v>
      </c>
      <c r="AD15" s="86">
        <f>IF(AC15/'Data - beräkning av pot vårdpla'!$E$40&lt;=0,"",AC15/((24*7*52)/('Data - beräkning av pot vårdpla'!$E$37*'Data - insamling av data'!$AB15*'Data - beräkning av pot vårdpla'!$E$38)*'Data - beräkning av pot vårdpla'!$E$36))</f>
        <v>9.0617794780219807</v>
      </c>
      <c r="AE15" s="105">
        <v>1837</v>
      </c>
      <c r="AF15" s="62">
        <v>140.99999999999997</v>
      </c>
      <c r="AG15" s="10">
        <f t="shared" si="12"/>
        <v>7.6755579749591712E-2</v>
      </c>
      <c r="AH15" s="62">
        <f t="shared" si="32"/>
        <v>96.865541643984741</v>
      </c>
      <c r="AI15" s="85">
        <f t="shared" si="33"/>
        <v>16.419326504542411</v>
      </c>
      <c r="AJ15" s="86">
        <f>IF((AI15/'Data - beräkning av pot vårdpla'!$E$40)*'Data - beräkning av pot vårdpla'!$E$41&gt;0,(AI15/((24*7*52)/('Data - beräkning av pot vårdpla'!$E$37*'Data - insamling av data'!$AB15*'Data - beräkning av pot vårdpla'!$E$38)*'Data - beräkning av pot vårdpla'!$E$36))*'Data - beräkning av pot vårdpla'!$E$41,"")</f>
        <v>13.407372467835529</v>
      </c>
      <c r="AK15" s="106">
        <f t="shared" si="0"/>
        <v>1.208137609408266E-2</v>
      </c>
      <c r="AL15" s="62">
        <v>3.9178082191780823</v>
      </c>
      <c r="AM15" s="86">
        <f t="shared" si="1"/>
        <v>0.22315307035775112</v>
      </c>
      <c r="AN15" s="25">
        <v>2617</v>
      </c>
      <c r="AO15" s="39">
        <v>0.16711366538952746</v>
      </c>
      <c r="AP15" s="8">
        <v>8.7611769201375616</v>
      </c>
      <c r="AQ15" s="9">
        <v>15660</v>
      </c>
      <c r="AR15" s="70">
        <f t="shared" si="13"/>
        <v>694.09027268108184</v>
      </c>
      <c r="AS15" s="78">
        <f t="shared" si="14"/>
        <v>16.66040459590543</v>
      </c>
      <c r="AT15" s="25">
        <v>966</v>
      </c>
      <c r="AU15" s="39">
        <v>0.11350017624250969</v>
      </c>
      <c r="AV15" s="8">
        <v>7.1728778467908869</v>
      </c>
      <c r="AW15" s="9">
        <v>8511</v>
      </c>
      <c r="AX15" s="70">
        <f t="shared" si="29"/>
        <v>225.54300000000001</v>
      </c>
      <c r="AY15" s="78">
        <f t="shared" si="30"/>
        <v>4.4323079128733065</v>
      </c>
      <c r="AZ15" s="25">
        <v>2381</v>
      </c>
      <c r="BA15" s="9">
        <v>62919</v>
      </c>
      <c r="BB15" s="44">
        <f t="shared" si="15"/>
        <v>3784.2305186032836</v>
      </c>
      <c r="BC15" s="8">
        <v>5.4891566265060243</v>
      </c>
      <c r="BD15" s="70">
        <f t="shared" si="16"/>
        <v>37.051957856041099</v>
      </c>
      <c r="BE15" s="78">
        <f t="shared" si="17"/>
        <v>0.55721643833016421</v>
      </c>
      <c r="BF15" s="25">
        <v>1062</v>
      </c>
      <c r="BG15" s="9">
        <v>62396</v>
      </c>
      <c r="BH15" s="44">
        <f t="shared" si="18"/>
        <v>1702.0321815500995</v>
      </c>
      <c r="BI15" s="8">
        <v>5.6431261770244818</v>
      </c>
      <c r="BJ15" s="70">
        <f t="shared" si="19"/>
        <v>143.10597297473726</v>
      </c>
      <c r="BK15" s="78">
        <f t="shared" si="20"/>
        <v>2.2125070196775285</v>
      </c>
      <c r="BL15" s="25">
        <v>140</v>
      </c>
      <c r="BM15" s="9">
        <v>135240</v>
      </c>
      <c r="BN15" s="44">
        <f t="shared" si="21"/>
        <v>103.51966873706004</v>
      </c>
      <c r="BO15" s="8">
        <v>4.3928571428571432</v>
      </c>
      <c r="BP15" s="70">
        <f t="shared" si="22"/>
        <v>1.8177470284841775</v>
      </c>
      <c r="BQ15" s="78">
        <f t="shared" si="23"/>
        <v>2.1876994569819359E-2</v>
      </c>
      <c r="BR15" s="25">
        <v>1556</v>
      </c>
      <c r="BS15" s="8">
        <v>8.4466580976863757</v>
      </c>
      <c r="BT15" s="39">
        <f t="shared" si="2"/>
        <v>2.4937495993332906E-2</v>
      </c>
      <c r="BU15" s="81">
        <v>62396</v>
      </c>
      <c r="BV15" s="70">
        <f t="shared" si="24"/>
        <v>85.974900551777409</v>
      </c>
      <c r="BW15" s="83">
        <f t="shared" si="25"/>
        <v>1.9895906573793192</v>
      </c>
      <c r="BX15" s="73">
        <v>3.7999999999999999E-2</v>
      </c>
      <c r="BY15" s="39">
        <v>4.8333333333333318E-2</v>
      </c>
      <c r="BZ15" s="9">
        <v>31302</v>
      </c>
      <c r="CA15" s="9">
        <f t="shared" si="26"/>
        <v>1512.9299999999996</v>
      </c>
      <c r="CB15" s="70">
        <f t="shared" si="3"/>
        <v>41.735999999999422</v>
      </c>
      <c r="CC15" s="78">
        <f t="shared" si="27"/>
        <v>0.74324383561642804</v>
      </c>
      <c r="CD15" s="104">
        <v>0.26928745354350891</v>
      </c>
      <c r="CE15" s="104">
        <v>0.26803311138061287</v>
      </c>
      <c r="CF15" s="110">
        <v>2.3105360443622922E-2</v>
      </c>
      <c r="CG15" s="110">
        <v>1.3411567476948869E-2</v>
      </c>
    </row>
    <row r="16" spans="1:85" ht="11.5" x14ac:dyDescent="0.3">
      <c r="B16" s="1" t="s">
        <v>10</v>
      </c>
      <c r="C16" s="122">
        <v>2277.2720862593505</v>
      </c>
      <c r="D16" s="122">
        <v>1847.4228052618475</v>
      </c>
      <c r="E16" s="123">
        <v>54.541666666666664</v>
      </c>
      <c r="F16" s="3">
        <v>0.8684999935396529</v>
      </c>
      <c r="G16" s="90">
        <v>1905.504109589041</v>
      </c>
      <c r="H16" s="26">
        <v>157.93150684931507</v>
      </c>
      <c r="I16" s="89">
        <f t="shared" si="28"/>
        <v>8.288174559926615</v>
      </c>
      <c r="J16" s="26">
        <v>25.263013698630136</v>
      </c>
      <c r="K16" s="89">
        <f t="shared" si="4"/>
        <v>1.3257916144866566</v>
      </c>
      <c r="L16" s="25">
        <v>48844</v>
      </c>
      <c r="M16" s="9">
        <v>1428626</v>
      </c>
      <c r="N16" s="23">
        <f t="shared" si="5"/>
        <v>3.4189493961330676E-2</v>
      </c>
      <c r="O16" s="9">
        <v>214487</v>
      </c>
      <c r="P16" s="87">
        <f t="shared" si="6"/>
        <v>0.22772475721139276</v>
      </c>
      <c r="Q16" s="25">
        <v>7235</v>
      </c>
      <c r="R16" s="9">
        <v>3441</v>
      </c>
      <c r="S16" s="9">
        <v>7388</v>
      </c>
      <c r="T16" s="9">
        <v>3359</v>
      </c>
      <c r="U16" s="9">
        <f t="shared" si="7"/>
        <v>3794</v>
      </c>
      <c r="V16" s="9">
        <f t="shared" si="8"/>
        <v>4029</v>
      </c>
      <c r="W16" s="23">
        <f t="shared" si="9"/>
        <v>0.54534380075798594</v>
      </c>
      <c r="X16" s="104">
        <f t="shared" si="10"/>
        <v>0.52439530062197648</v>
      </c>
      <c r="Y16" s="25">
        <v>6741</v>
      </c>
      <c r="Z16" s="9">
        <v>219</v>
      </c>
      <c r="AA16" s="10">
        <f t="shared" si="11"/>
        <v>3.2487761459724075E-2</v>
      </c>
      <c r="AB16" s="117">
        <v>0.91799999999999993</v>
      </c>
      <c r="AC16" s="85">
        <f t="shared" si="31"/>
        <v>10.028999999999996</v>
      </c>
      <c r="AD16" s="86">
        <f>IF(AC16/'Data - beräkning av pot vårdpla'!$E$40&lt;=0,"",AC16/((24*7*52)/('Data - beräkning av pot vårdpla'!$E$37*'Data - insamling av data'!$AB16*'Data - beräkning av pot vårdpla'!$E$38)*'Data - beräkning av pot vårdpla'!$E$36))</f>
        <v>10.104520574175819</v>
      </c>
      <c r="AE16" s="105">
        <v>8586</v>
      </c>
      <c r="AF16" s="62">
        <v>683.00000000000023</v>
      </c>
      <c r="AG16" s="10">
        <f t="shared" si="12"/>
        <v>7.9548101560680207E-2</v>
      </c>
      <c r="AH16" s="62">
        <f t="shared" si="32"/>
        <v>536.23375262054526</v>
      </c>
      <c r="AI16" s="85">
        <f t="shared" si="33"/>
        <v>106.52857333767616</v>
      </c>
      <c r="AJ16" s="86">
        <f>IF((AI16/'Data - beräkning av pot vårdpla'!$E$40)*'Data - beräkning av pot vårdpla'!$E$41&gt;0,(AI16/((24*7*52)/('Data - beräkning av pot vårdpla'!$E$37*'Data - insamling av data'!$AB16*'Data - beräkning av pot vårdpla'!$E$38)*'Data - beräkning av pot vårdpla'!$E$36))*'Data - beräkning av pot vårdpla'!$E$41,"")</f>
        <v>85.864605526225702</v>
      </c>
      <c r="AK16" s="106">
        <f t="shared" si="0"/>
        <v>1.3257916144866565E-2</v>
      </c>
      <c r="AL16" s="62">
        <v>25.263013698630136</v>
      </c>
      <c r="AM16" s="86">
        <f t="shared" si="1"/>
        <v>3.5531533703134208</v>
      </c>
      <c r="AN16" s="25">
        <v>10168</v>
      </c>
      <c r="AO16" s="39">
        <v>0.14197746345141515</v>
      </c>
      <c r="AP16" s="8">
        <v>8.4824940991345397</v>
      </c>
      <c r="AQ16" s="9">
        <v>71617</v>
      </c>
      <c r="AR16" s="70">
        <f t="shared" si="13"/>
        <v>1374.0647546999389</v>
      </c>
      <c r="AS16" s="78">
        <f t="shared" si="14"/>
        <v>31.93286622896159</v>
      </c>
      <c r="AT16" s="25">
        <v>4931</v>
      </c>
      <c r="AU16" s="39">
        <v>9.3843372347511653E-2</v>
      </c>
      <c r="AV16" s="8">
        <v>6.5465422835124718</v>
      </c>
      <c r="AW16" s="9">
        <v>52545</v>
      </c>
      <c r="AX16" s="70">
        <f t="shared" si="29"/>
        <v>359.58500000000004</v>
      </c>
      <c r="AY16" s="78">
        <f t="shared" si="30"/>
        <v>6.449420293196801</v>
      </c>
      <c r="AZ16" s="25">
        <v>11645</v>
      </c>
      <c r="BA16" s="9">
        <v>286963</v>
      </c>
      <c r="BB16" s="44">
        <f t="shared" si="15"/>
        <v>4058.0144478556472</v>
      </c>
      <c r="BC16" s="8">
        <v>5.0469963453631799</v>
      </c>
      <c r="BD16" s="70">
        <f t="shared" si="16"/>
        <v>954.64633866150325</v>
      </c>
      <c r="BE16" s="78">
        <f t="shared" si="17"/>
        <v>13.200264609147803</v>
      </c>
      <c r="BF16" s="25">
        <v>5017</v>
      </c>
      <c r="BG16" s="9">
        <v>282767</v>
      </c>
      <c r="BH16" s="44">
        <f t="shared" si="18"/>
        <v>1774.2522995964875</v>
      </c>
      <c r="BI16" s="8">
        <v>5.2357982858281842</v>
      </c>
      <c r="BJ16" s="70">
        <f t="shared" si="19"/>
        <v>852.74416084600853</v>
      </c>
      <c r="BK16" s="78">
        <f t="shared" si="20"/>
        <v>12.232318946869931</v>
      </c>
      <c r="BL16" s="25">
        <v>889</v>
      </c>
      <c r="BM16" s="9">
        <v>805605</v>
      </c>
      <c r="BN16" s="44">
        <f t="shared" si="21"/>
        <v>110.35184736936836</v>
      </c>
      <c r="BO16" s="8">
        <v>5.0989876265466814</v>
      </c>
      <c r="BP16" s="70">
        <f t="shared" si="22"/>
        <v>65.868427202617454</v>
      </c>
      <c r="BQ16" s="78">
        <f t="shared" si="23"/>
        <v>0.92017067201708824</v>
      </c>
      <c r="BR16" s="25">
        <v>6998</v>
      </c>
      <c r="BS16" s="8">
        <v>7.3666761931980567</v>
      </c>
      <c r="BT16" s="39">
        <f t="shared" si="2"/>
        <v>2.4748290995766833E-2</v>
      </c>
      <c r="BU16" s="81">
        <v>282767</v>
      </c>
      <c r="BV16" s="70">
        <f t="shared" si="24"/>
        <v>336.12123700757093</v>
      </c>
      <c r="BW16" s="83">
        <f t="shared" si="25"/>
        <v>6.783825519703985</v>
      </c>
      <c r="BX16" s="73">
        <v>6.0999999999999999E-2</v>
      </c>
      <c r="BY16" s="39">
        <v>5.1166666666666666E-2</v>
      </c>
      <c r="BZ16" s="9">
        <v>154200</v>
      </c>
      <c r="CA16" s="9">
        <f t="shared" si="26"/>
        <v>7889.9</v>
      </c>
      <c r="CB16" s="70">
        <f t="shared" si="3"/>
        <v>642.49999999999818</v>
      </c>
      <c r="CC16" s="78">
        <f t="shared" si="27"/>
        <v>11.441780821917776</v>
      </c>
      <c r="CD16" s="104">
        <v>0.20898099350126953</v>
      </c>
      <c r="CE16" s="104">
        <v>0.3539332786620108</v>
      </c>
      <c r="CF16" s="110">
        <v>7.2568940493468797E-3</v>
      </c>
      <c r="CG16" s="110">
        <v>1.8185850521179863E-2</v>
      </c>
    </row>
    <row r="17" spans="1:85" ht="11.5" x14ac:dyDescent="0.3">
      <c r="B17" s="1" t="s">
        <v>11</v>
      </c>
      <c r="C17" s="122">
        <v>4188.2701130241949</v>
      </c>
      <c r="D17" s="122">
        <v>4007</v>
      </c>
      <c r="E17" s="123">
        <v>83.589285714285722</v>
      </c>
      <c r="F17" s="3">
        <v>0.8859029924183629</v>
      </c>
      <c r="G17" s="90">
        <v>2768.6438356164385</v>
      </c>
      <c r="H17" s="26">
        <v>98.021917808219172</v>
      </c>
      <c r="I17" s="89">
        <f t="shared" si="28"/>
        <v>3.5404307533978852</v>
      </c>
      <c r="J17" s="26">
        <v>32.098630136986301</v>
      </c>
      <c r="K17" s="89">
        <f t="shared" si="4"/>
        <v>1.1593629243336583</v>
      </c>
      <c r="L17" s="25">
        <v>83820</v>
      </c>
      <c r="M17" s="9">
        <v>2473307</v>
      </c>
      <c r="N17" s="23">
        <f t="shared" si="5"/>
        <v>3.3889848692459125E-2</v>
      </c>
      <c r="O17" s="9">
        <v>353050</v>
      </c>
      <c r="P17" s="87">
        <f t="shared" si="6"/>
        <v>0.2374167964877496</v>
      </c>
      <c r="Q17" s="25">
        <v>4730.0097685855762</v>
      </c>
      <c r="R17" s="9">
        <v>3431.3104928987218</v>
      </c>
      <c r="S17" s="9">
        <v>5220.2853450776647</v>
      </c>
      <c r="T17" s="9">
        <v>3501.8574931910903</v>
      </c>
      <c r="U17" s="9">
        <f t="shared" si="7"/>
        <v>1298.6992756868544</v>
      </c>
      <c r="V17" s="9">
        <f t="shared" si="8"/>
        <v>1718.4278518865744</v>
      </c>
      <c r="W17" s="23">
        <f t="shared" si="9"/>
        <v>0.32918274352702237</v>
      </c>
      <c r="X17" s="104">
        <f t="shared" si="10"/>
        <v>0.27456587601830829</v>
      </c>
      <c r="Y17" s="25">
        <v>8120</v>
      </c>
      <c r="Z17" s="9">
        <v>269</v>
      </c>
      <c r="AA17" s="10">
        <f t="shared" si="11"/>
        <v>3.312807881773399E-2</v>
      </c>
      <c r="AB17" s="117">
        <v>0.92599999999999993</v>
      </c>
      <c r="AC17" s="85">
        <f t="shared" si="31"/>
        <v>17.28</v>
      </c>
      <c r="AD17" s="86">
        <f>IF(AC17/'Data - beräkning av pot vårdpla'!$E$40&lt;=0,"",AC17/((24*7*52)/('Data - beräkning av pot vårdpla'!$E$37*'Data - insamling av data'!$AB17*'Data - beräkning av pot vårdpla'!$E$38)*'Data - beräkning av pot vårdpla'!$E$36))</f>
        <v>17.561844395604396</v>
      </c>
      <c r="AE17" s="105">
        <v>10505</v>
      </c>
      <c r="AF17" s="62">
        <v>1018.9999999999997</v>
      </c>
      <c r="AG17" s="10">
        <f t="shared" si="12"/>
        <v>9.700142789148021E-2</v>
      </c>
      <c r="AH17" s="62">
        <f t="shared" si="32"/>
        <v>787.65159447881933</v>
      </c>
      <c r="AI17" s="85">
        <f t="shared" si="33"/>
        <v>270.04203272583061</v>
      </c>
      <c r="AJ17" s="86">
        <f>IF((AI17/'Data - beräkning av pot vårdpla'!$E$40)*'Data - beräkning av pot vårdpla'!$E$41&gt;0,(AI17/((24*7*52)/('Data - beräkning av pot vårdpla'!$E$37*'Data - insamling av data'!$AB17*'Data - beräkning av pot vårdpla'!$E$38)*'Data - beräkning av pot vårdpla'!$E$36))*'Data - beräkning av pot vårdpla'!$E$41,"")</f>
        <v>219.5572295835068</v>
      </c>
      <c r="AK17" s="106">
        <f t="shared" si="0"/>
        <v>1.1593629243336581E-2</v>
      </c>
      <c r="AL17" s="62">
        <v>32.098630136986301</v>
      </c>
      <c r="AM17" s="86">
        <f t="shared" si="1"/>
        <v>0.55481416324318644</v>
      </c>
      <c r="AN17" s="25">
        <v>14620</v>
      </c>
      <c r="AO17" s="39">
        <v>0.11867075764216951</v>
      </c>
      <c r="AP17" s="8">
        <v>7.1298221614227089</v>
      </c>
      <c r="AQ17" s="9">
        <v>123198</v>
      </c>
      <c r="AR17" s="70">
        <f t="shared" si="13"/>
        <v>-507.62660193078409</v>
      </c>
      <c r="AS17" s="78" t="str">
        <f t="shared" si="14"/>
        <v/>
      </c>
      <c r="AT17" s="25">
        <v>9220</v>
      </c>
      <c r="AU17" s="39">
        <v>8.8793867252205394E-2</v>
      </c>
      <c r="AV17" s="8">
        <v>5.577874186550976</v>
      </c>
      <c r="AW17" s="9">
        <v>103836</v>
      </c>
      <c r="AX17" s="70">
        <f t="shared" si="29"/>
        <v>186.26800000000003</v>
      </c>
      <c r="AY17" s="78">
        <f t="shared" si="30"/>
        <v>2.8465190930971982</v>
      </c>
      <c r="AZ17" s="25">
        <v>21586</v>
      </c>
      <c r="BA17" s="9">
        <v>418087</v>
      </c>
      <c r="BB17" s="44">
        <f t="shared" si="15"/>
        <v>5163.0402284691945</v>
      </c>
      <c r="BC17" s="8">
        <v>4.8143474366404977</v>
      </c>
      <c r="BD17" s="70">
        <f t="shared" si="16"/>
        <v>6010.8286670824164</v>
      </c>
      <c r="BE17" s="78">
        <f t="shared" si="17"/>
        <v>79.282787905351924</v>
      </c>
      <c r="BF17" s="25">
        <v>10030</v>
      </c>
      <c r="BG17" s="9">
        <v>408424</v>
      </c>
      <c r="BH17" s="44">
        <f t="shared" si="18"/>
        <v>2455.7812469394548</v>
      </c>
      <c r="BI17" s="8">
        <v>5.1351944167497505</v>
      </c>
      <c r="BJ17" s="70">
        <f t="shared" si="19"/>
        <v>4015.2174162804358</v>
      </c>
      <c r="BK17" s="78">
        <f t="shared" si="20"/>
        <v>56.490197419505897</v>
      </c>
      <c r="BL17" s="25">
        <v>1603</v>
      </c>
      <c r="BM17" s="9">
        <v>1470742</v>
      </c>
      <c r="BN17" s="44">
        <f t="shared" si="21"/>
        <v>108.99260373335363</v>
      </c>
      <c r="BO17" s="8">
        <v>4.6388022457891456</v>
      </c>
      <c r="BP17" s="70">
        <f t="shared" si="22"/>
        <v>100.26084664423888</v>
      </c>
      <c r="BQ17" s="78">
        <f>IF((BP17*BO17)/365&gt;0,(BP17*BO17)/365,"")</f>
        <v>1.2742198372000451</v>
      </c>
      <c r="BR17" s="25">
        <v>14882</v>
      </c>
      <c r="BS17" s="8">
        <v>8.682905523451149</v>
      </c>
      <c r="BT17" s="39">
        <f t="shared" si="2"/>
        <v>3.6437623646014924E-2</v>
      </c>
      <c r="BU17" s="81">
        <v>408424</v>
      </c>
      <c r="BV17" s="70">
        <f>BR17-($BT$30*BU17)</f>
        <v>5259.6919799820353</v>
      </c>
      <c r="BW17" s="83">
        <f t="shared" si="25"/>
        <v>125.1216672455828</v>
      </c>
      <c r="BX17" s="73">
        <v>9.4E-2</v>
      </c>
      <c r="BY17" s="39">
        <v>8.3666666666666667E-2</v>
      </c>
      <c r="BZ17" s="9">
        <v>298777</v>
      </c>
      <c r="CA17" s="9">
        <f t="shared" si="26"/>
        <v>24997.675666666666</v>
      </c>
      <c r="CB17" s="70">
        <f t="shared" si="3"/>
        <v>10955.156666666664</v>
      </c>
      <c r="CC17" s="78">
        <f t="shared" si="27"/>
        <v>195.09183105022825</v>
      </c>
      <c r="CD17" s="104">
        <v>0.34800804803899521</v>
      </c>
      <c r="CE17" s="104">
        <v>0.39094484386046402</v>
      </c>
      <c r="CF17" s="110">
        <v>1.5722049689440992E-2</v>
      </c>
      <c r="CG17" s="110">
        <v>2.1071115013169446E-2</v>
      </c>
    </row>
    <row r="18" spans="1:85" ht="11.5" x14ac:dyDescent="0.3">
      <c r="B18" s="1" t="s">
        <v>161</v>
      </c>
      <c r="C18" s="122">
        <v>477.50007451246756</v>
      </c>
      <c r="D18" s="122">
        <v>433.3</v>
      </c>
      <c r="E18" s="123">
        <v>13.5</v>
      </c>
      <c r="F18" s="3">
        <v>0.85977840647682091</v>
      </c>
      <c r="G18" s="90">
        <v>381.75890410958903</v>
      </c>
      <c r="H18" s="26">
        <v>23.849315068493151</v>
      </c>
      <c r="I18" s="89">
        <f t="shared" si="28"/>
        <v>6.2472190724978836</v>
      </c>
      <c r="J18" s="26">
        <v>6.7369863013698632</v>
      </c>
      <c r="K18" s="89">
        <f t="shared" si="4"/>
        <v>1.7647227684402407</v>
      </c>
      <c r="L18" s="25">
        <v>13823</v>
      </c>
      <c r="M18" s="9">
        <v>301542</v>
      </c>
      <c r="N18" s="23">
        <f t="shared" si="5"/>
        <v>4.5841043702038189E-2</v>
      </c>
      <c r="O18" s="9">
        <v>72820</v>
      </c>
      <c r="P18" s="87">
        <f t="shared" si="6"/>
        <v>0.18982422411425431</v>
      </c>
      <c r="Q18" s="25">
        <v>1620</v>
      </c>
      <c r="R18" s="9">
        <v>1315</v>
      </c>
      <c r="S18" s="9">
        <v>2194</v>
      </c>
      <c r="T18" s="9">
        <v>1648</v>
      </c>
      <c r="U18" s="9">
        <f t="shared" si="7"/>
        <v>305</v>
      </c>
      <c r="V18" s="9">
        <f t="shared" si="8"/>
        <v>546</v>
      </c>
      <c r="W18" s="23">
        <f t="shared" si="9"/>
        <v>0.2488605287146764</v>
      </c>
      <c r="X18" s="104">
        <f t="shared" si="10"/>
        <v>0.18827160493827161</v>
      </c>
      <c r="Y18" s="25">
        <v>1227</v>
      </c>
      <c r="Z18" s="9">
        <v>74</v>
      </c>
      <c r="AA18" s="10">
        <f t="shared" si="11"/>
        <v>6.0309698451507743E-2</v>
      </c>
      <c r="AB18" s="117">
        <v>0.90599999999999992</v>
      </c>
      <c r="AC18" s="85">
        <f t="shared" si="31"/>
        <v>35.963000000000001</v>
      </c>
      <c r="AD18" s="86">
        <f>IF(AC18/'Data - beräkning av pot vårdpla'!$E$40&lt;=0,"",AC18/((24*7*52)/('Data - beräkning av pot vårdpla'!$E$37*'Data - insamling av data'!$AB18*'Data - beräkning av pot vårdpla'!$E$38)*'Data - beräkning av pot vårdpla'!$E$36))</f>
        <v>35.760164728021984</v>
      </c>
      <c r="AE18" s="105">
        <v>1826</v>
      </c>
      <c r="AF18" s="62">
        <v>126.99999999999997</v>
      </c>
      <c r="AG18" s="10">
        <f t="shared" si="12"/>
        <v>6.9550930996714111E-2</v>
      </c>
      <c r="AH18" s="62">
        <f t="shared" si="32"/>
        <v>85.338992332968218</v>
      </c>
      <c r="AI18" s="85">
        <f t="shared" si="33"/>
        <v>7.1238528907370409</v>
      </c>
      <c r="AJ18" s="86">
        <f>IF((AI18/'Data - beräkning av pot vårdpla'!$E$40)*'Data - beräkning av pot vårdpla'!$E$41&gt;0,(AI18/((24*7*52)/('Data - beräkning av pot vårdpla'!$E$37*'Data - insamling av data'!$AB18*'Data - beräkning av pot vårdpla'!$E$38)*'Data - beräkning av pot vårdpla'!$E$36))*'Data - beräkning av pot vårdpla'!$E$41,"")</f>
        <v>5.666938862073847</v>
      </c>
      <c r="AK18" s="106">
        <f t="shared" si="0"/>
        <v>1.7647227684402408E-2</v>
      </c>
      <c r="AL18" s="62">
        <v>6.7369863013698632</v>
      </c>
      <c r="AM18" s="86">
        <f t="shared" si="1"/>
        <v>2.3875165491908001</v>
      </c>
      <c r="AN18" s="25">
        <v>3222</v>
      </c>
      <c r="AO18" s="39">
        <v>0.16580044254618431</v>
      </c>
      <c r="AP18" s="8">
        <v>8.2132216014897583</v>
      </c>
      <c r="AQ18" s="9">
        <v>19433</v>
      </c>
      <c r="AR18" s="70">
        <f t="shared" si="13"/>
        <v>835.79918703776912</v>
      </c>
      <c r="AS18" s="78">
        <f t="shared" si="14"/>
        <v>18.807134075304614</v>
      </c>
      <c r="AT18" s="25">
        <v>1346</v>
      </c>
      <c r="AU18" s="39">
        <v>0.10641998734977862</v>
      </c>
      <c r="AV18" s="8">
        <v>5.961367013372957</v>
      </c>
      <c r="AW18" s="9">
        <v>12648</v>
      </c>
      <c r="AX18" s="70">
        <f t="shared" si="29"/>
        <v>245.62400000000002</v>
      </c>
      <c r="AY18" s="78">
        <f t="shared" si="30"/>
        <v>4.011657017240327</v>
      </c>
      <c r="AZ18" s="25">
        <v>2871</v>
      </c>
      <c r="BA18" s="9">
        <v>71123</v>
      </c>
      <c r="BB18" s="44">
        <f t="shared" si="15"/>
        <v>4036.6688694233931</v>
      </c>
      <c r="BC18" s="8">
        <v>4.6568322981366457</v>
      </c>
      <c r="BD18" s="70">
        <f t="shared" si="16"/>
        <v>221.42488594216684</v>
      </c>
      <c r="BE18" s="78">
        <f t="shared" si="17"/>
        <v>2.8250371519635769</v>
      </c>
      <c r="BF18" s="25">
        <v>1192</v>
      </c>
      <c r="BG18" s="9">
        <v>70240</v>
      </c>
      <c r="BH18" s="44">
        <f t="shared" si="18"/>
        <v>1697.0387243735763</v>
      </c>
      <c r="BI18" s="8">
        <v>5.3942953020134228</v>
      </c>
      <c r="BJ18" s="70">
        <f t="shared" si="19"/>
        <v>157.58887655852209</v>
      </c>
      <c r="BK18" s="78">
        <f t="shared" si="20"/>
        <v>2.3289888670389285</v>
      </c>
      <c r="BL18" s="25">
        <v>203</v>
      </c>
      <c r="BM18" s="9">
        <v>160494</v>
      </c>
      <c r="BN18" s="44">
        <f t="shared" si="21"/>
        <v>126.48447917056089</v>
      </c>
      <c r="BO18" s="8">
        <v>4.0886699507389164</v>
      </c>
      <c r="BP18" s="70">
        <f t="shared" si="22"/>
        <v>39.014326320537833</v>
      </c>
      <c r="BQ18" s="78">
        <f t="shared" si="23"/>
        <v>0.43703206486330254</v>
      </c>
      <c r="BR18" s="25">
        <v>2035</v>
      </c>
      <c r="BS18" s="8">
        <v>7.3184275184275185</v>
      </c>
      <c r="BT18" s="39">
        <f t="shared" si="2"/>
        <v>2.8972095671981776E-2</v>
      </c>
      <c r="BU18" s="81">
        <v>70240</v>
      </c>
      <c r="BV18" s="70">
        <f t="shared" si="24"/>
        <v>380.17336070832812</v>
      </c>
      <c r="BW18" s="83">
        <f t="shared" si="25"/>
        <v>7.6226607802216426</v>
      </c>
      <c r="BX18" s="73">
        <v>3.7999999999999999E-2</v>
      </c>
      <c r="BY18" s="39">
        <v>5.1333333333333335E-2</v>
      </c>
      <c r="BZ18" s="9">
        <v>40465</v>
      </c>
      <c r="CA18" s="9">
        <f t="shared" si="26"/>
        <v>2077.2033333333334</v>
      </c>
      <c r="CB18" s="70">
        <f t="shared" si="3"/>
        <v>175.34833333333313</v>
      </c>
      <c r="CC18" s="78">
        <f t="shared" si="27"/>
        <v>3.1226415525114124</v>
      </c>
      <c r="CD18" s="104">
        <v>0.43357340932260297</v>
      </c>
      <c r="CE18" s="104">
        <v>0.2662753497926923</v>
      </c>
      <c r="CF18" s="110">
        <v>7.2164948453608251E-3</v>
      </c>
      <c r="CG18" s="110">
        <v>1.9886363636363636E-2</v>
      </c>
    </row>
    <row r="19" spans="1:85" ht="11.5" x14ac:dyDescent="0.3">
      <c r="B19" s="1" t="s">
        <v>12</v>
      </c>
      <c r="C19" s="122">
        <v>734.52396658576617</v>
      </c>
      <c r="D19" s="122">
        <v>619</v>
      </c>
      <c r="E19" s="123">
        <v>19.946428571428569</v>
      </c>
      <c r="F19" s="3">
        <v>0.88605070659211682</v>
      </c>
      <c r="G19" s="90">
        <v>554.2821917808219</v>
      </c>
      <c r="H19" s="26">
        <v>31.260273972602739</v>
      </c>
      <c r="I19" s="89">
        <f t="shared" si="28"/>
        <v>5.6397759906679257</v>
      </c>
      <c r="J19" s="26">
        <v>6.3150684931506849</v>
      </c>
      <c r="K19" s="89">
        <f t="shared" si="4"/>
        <v>1.13932372116473</v>
      </c>
      <c r="L19" s="25">
        <v>10679</v>
      </c>
      <c r="M19" s="9">
        <v>407912</v>
      </c>
      <c r="N19" s="23">
        <f t="shared" si="5"/>
        <v>2.6179666202514267E-2</v>
      </c>
      <c r="O19" s="9">
        <v>59731</v>
      </c>
      <c r="P19" s="87">
        <f t="shared" si="6"/>
        <v>0.17878488557030689</v>
      </c>
      <c r="Q19" s="25">
        <v>3153</v>
      </c>
      <c r="R19" s="9">
        <v>1520</v>
      </c>
      <c r="S19" s="9">
        <v>3040</v>
      </c>
      <c r="T19" s="9">
        <v>1680</v>
      </c>
      <c r="U19" s="9">
        <f t="shared" si="7"/>
        <v>1633</v>
      </c>
      <c r="V19" s="9">
        <f t="shared" si="8"/>
        <v>1360</v>
      </c>
      <c r="W19" s="23">
        <f t="shared" si="9"/>
        <v>0.44736842105263158</v>
      </c>
      <c r="X19" s="104">
        <f t="shared" si="10"/>
        <v>0.51791944180145888</v>
      </c>
      <c r="Y19" s="25">
        <v>2296</v>
      </c>
      <c r="Z19" s="9">
        <v>93</v>
      </c>
      <c r="AA19" s="10">
        <f t="shared" si="11"/>
        <v>4.0505226480836237E-2</v>
      </c>
      <c r="AB19" s="117">
        <v>0.91400000000000003</v>
      </c>
      <c r="AC19" s="85">
        <f t="shared" si="31"/>
        <v>21.823999999999998</v>
      </c>
      <c r="AD19" s="86">
        <f>IF(AC19/'Data - beräkning av pot vårdpla'!$E$40&lt;=0,"",AC19/((24*7*52)/('Data - beräkning av pot vårdpla'!$E$37*'Data - insamling av data'!$AB19*'Data - beräkning av pot vårdpla'!$E$38)*'Data - beräkning av pot vårdpla'!$E$36))</f>
        <v>21.892529758241761</v>
      </c>
      <c r="AE19" s="105">
        <v>2908</v>
      </c>
      <c r="AF19" s="62">
        <v>248.99999999999909</v>
      </c>
      <c r="AG19" s="10">
        <f t="shared" si="12"/>
        <v>8.5625859697386203E-2</v>
      </c>
      <c r="AH19" s="62">
        <f t="shared" si="32"/>
        <v>196.59697386519872</v>
      </c>
      <c r="AI19" s="85">
        <f t="shared" si="33"/>
        <v>50.238408128146745</v>
      </c>
      <c r="AJ19" s="86">
        <f>IF((AI19/'Data - beräkning av pot vårdpla'!$E$40)*'Data - beräkning av pot vårdpla'!$E$41&gt;0,(AI19/((24*7*52)/('Data - beräkning av pot vårdpla'!$E$37*'Data - insamling av data'!$AB19*'Data - beräkning av pot vårdpla'!$E$38)*'Data - beräkning av pot vårdpla'!$E$36))*'Data - beräkning av pot vårdpla'!$E$41,"")</f>
        <v>40.316929800298659</v>
      </c>
      <c r="AK19" s="106">
        <f t="shared" si="0"/>
        <v>1.1393237211647299E-2</v>
      </c>
      <c r="AL19" s="62">
        <v>6.3150684931506849</v>
      </c>
      <c r="AM19" s="86" t="str">
        <f t="shared" si="1"/>
        <v/>
      </c>
      <c r="AN19" s="25">
        <v>2175</v>
      </c>
      <c r="AO19" s="39">
        <v>0.12279117032687856</v>
      </c>
      <c r="AP19" s="8">
        <v>9.6859770114942521</v>
      </c>
      <c r="AQ19" s="9">
        <v>17713</v>
      </c>
      <c r="AR19" s="70">
        <f t="shared" si="13"/>
        <v>0</v>
      </c>
      <c r="AS19" s="78" t="str">
        <f t="shared" si="14"/>
        <v/>
      </c>
      <c r="AT19" s="25">
        <v>1308</v>
      </c>
      <c r="AU19" s="39">
        <v>9.085226088768493E-2</v>
      </c>
      <c r="AV19" s="8">
        <v>6.7163608562691159</v>
      </c>
      <c r="AW19" s="9">
        <v>14397</v>
      </c>
      <c r="AX19" s="70">
        <f t="shared" si="29"/>
        <v>55.461000000000013</v>
      </c>
      <c r="AY19" s="78">
        <f t="shared" si="30"/>
        <v>1.0205372313686067</v>
      </c>
      <c r="AZ19" s="25">
        <v>2812</v>
      </c>
      <c r="BA19" s="9">
        <v>77883</v>
      </c>
      <c r="BB19" s="44">
        <f t="shared" si="15"/>
        <v>3610.5440211599448</v>
      </c>
      <c r="BC19" s="8">
        <v>6.4929068867681199</v>
      </c>
      <c r="BD19" s="70">
        <f t="shared" si="16"/>
        <v>-89.408244986378577</v>
      </c>
      <c r="BE19" s="78" t="str">
        <f t="shared" si="17"/>
        <v/>
      </c>
      <c r="BF19" s="25">
        <v>1128</v>
      </c>
      <c r="BG19" s="9">
        <v>76595</v>
      </c>
      <c r="BH19" s="44">
        <f t="shared" si="18"/>
        <v>1472.6809843984595</v>
      </c>
      <c r="BI19" s="8">
        <v>7.1631205673758869</v>
      </c>
      <c r="BJ19" s="70">
        <f t="shared" si="19"/>
        <v>0</v>
      </c>
      <c r="BK19" s="78" t="str">
        <f t="shared" si="20"/>
        <v/>
      </c>
      <c r="BL19" s="25">
        <v>201</v>
      </c>
      <c r="BM19" s="9">
        <v>235109</v>
      </c>
      <c r="BN19" s="44">
        <f t="shared" si="21"/>
        <v>85.492261036370365</v>
      </c>
      <c r="BO19" s="8">
        <v>4.044776119402985</v>
      </c>
      <c r="BP19" s="70">
        <f t="shared" si="22"/>
        <v>-39.22398191274857</v>
      </c>
      <c r="BQ19" s="78" t="str">
        <f t="shared" si="23"/>
        <v/>
      </c>
      <c r="BR19" s="25">
        <v>1491</v>
      </c>
      <c r="BS19" s="8">
        <v>12.491616364855801</v>
      </c>
      <c r="BT19" s="39">
        <f t="shared" si="2"/>
        <v>1.9466022586330699E-2</v>
      </c>
      <c r="BU19" s="81">
        <v>76595</v>
      </c>
      <c r="BV19" s="70">
        <f t="shared" si="24"/>
        <v>-313.54792762735769</v>
      </c>
      <c r="BW19" s="83" t="str">
        <f t="shared" si="25"/>
        <v/>
      </c>
      <c r="BX19" s="73">
        <v>0.17199999999999999</v>
      </c>
      <c r="BY19" s="39">
        <v>0.123</v>
      </c>
      <c r="BZ19" s="9">
        <v>38141</v>
      </c>
      <c r="CA19" s="9">
        <f t="shared" si="26"/>
        <v>4691.3429999999998</v>
      </c>
      <c r="CB19" s="70">
        <f t="shared" si="3"/>
        <v>2898.7159999999994</v>
      </c>
      <c r="CC19" s="78">
        <f t="shared" si="27"/>
        <v>51.620969863013684</v>
      </c>
      <c r="CD19" s="104"/>
      <c r="CE19" s="104"/>
      <c r="CF19" s="110">
        <v>1.9047619047619049E-2</v>
      </c>
      <c r="CG19" s="110">
        <v>2.5777103866565579E-2</v>
      </c>
    </row>
    <row r="20" spans="1:85" ht="11.5" x14ac:dyDescent="0.3">
      <c r="B20" s="1" t="s">
        <v>13</v>
      </c>
      <c r="C20" s="122">
        <v>511.59043663203664</v>
      </c>
      <c r="D20" s="122">
        <v>428</v>
      </c>
      <c r="E20" s="123">
        <v>13.5</v>
      </c>
      <c r="F20" s="3">
        <v>0.85837732829058611</v>
      </c>
      <c r="G20" s="90">
        <v>429.22191780821919</v>
      </c>
      <c r="H20" s="26">
        <v>5.1506849315068495</v>
      </c>
      <c r="I20" s="89">
        <f t="shared" si="28"/>
        <v>1.2000051064047081</v>
      </c>
      <c r="J20" s="26">
        <v>14.147945205479452</v>
      </c>
      <c r="K20" s="89">
        <f t="shared" si="4"/>
        <v>3.2961842390818683</v>
      </c>
      <c r="L20" s="25">
        <v>10495</v>
      </c>
      <c r="M20" s="9">
        <v>283384</v>
      </c>
      <c r="N20" s="23">
        <f t="shared" si="5"/>
        <v>3.7034553820963781E-2</v>
      </c>
      <c r="O20" s="9">
        <v>59692</v>
      </c>
      <c r="P20" s="87">
        <f t="shared" si="6"/>
        <v>0.17581920525363534</v>
      </c>
      <c r="Q20" s="25">
        <v>1420</v>
      </c>
      <c r="R20" s="9">
        <v>684</v>
      </c>
      <c r="S20" s="9">
        <v>1157</v>
      </c>
      <c r="T20" s="9">
        <v>679</v>
      </c>
      <c r="U20" s="9">
        <f t="shared" si="7"/>
        <v>736</v>
      </c>
      <c r="V20" s="9">
        <f t="shared" si="8"/>
        <v>478</v>
      </c>
      <c r="W20" s="23">
        <f t="shared" si="9"/>
        <v>0.41313742437337941</v>
      </c>
      <c r="X20" s="104">
        <f t="shared" si="10"/>
        <v>0.51830985915492955</v>
      </c>
      <c r="Y20" s="25">
        <v>1402</v>
      </c>
      <c r="Z20" s="9">
        <v>64</v>
      </c>
      <c r="AA20" s="10">
        <f t="shared" si="11"/>
        <v>4.5649072753209702E-2</v>
      </c>
      <c r="AB20" s="117">
        <v>0.92799999999999994</v>
      </c>
      <c r="AC20" s="85">
        <f t="shared" si="31"/>
        <v>20.538000000000004</v>
      </c>
      <c r="AD20" s="86">
        <f>IF(AC20/'Data - beräkning av pot vårdpla'!$E$40&lt;=0,"",AC20/((24*7*52)/('Data - beräkning av pot vårdpla'!$E$37*'Data - insamling av data'!$AB20*'Data - beräkning av pot vårdpla'!$E$38)*'Data - beräkning av pot vårdpla'!$E$36))</f>
        <v>20.918065846153848</v>
      </c>
      <c r="AE20" s="105">
        <v>2189</v>
      </c>
      <c r="AF20" s="62">
        <v>170.00000000000003</v>
      </c>
      <c r="AG20" s="10">
        <f t="shared" si="12"/>
        <v>7.76610324349018E-2</v>
      </c>
      <c r="AH20" s="62">
        <f t="shared" si="32"/>
        <v>108.88076747373232</v>
      </c>
      <c r="AI20" s="85">
        <f t="shared" si="33"/>
        <v>19.510249545445348</v>
      </c>
      <c r="AJ20" s="86">
        <f>IF((AI20/'Data - beräkning av pot vårdpla'!$E$40)*'Data - beräkning av pot vårdpla'!$E$41&gt;0,(AI20/((24*7*52)/('Data - beräkning av pot vårdpla'!$E$37*'Data - insamling av data'!$AB20*'Data - beräkning av pot vårdpla'!$E$38)*'Data - beräkning av pot vårdpla'!$E$36))*'Data - beräkning av pot vårdpla'!$E$41,"")</f>
        <v>15.897037088967531</v>
      </c>
      <c r="AK20" s="106">
        <f t="shared" si="0"/>
        <v>3.2961842390818681E-2</v>
      </c>
      <c r="AL20" s="62">
        <v>14.147945205479452</v>
      </c>
      <c r="AM20" s="86">
        <f t="shared" si="1"/>
        <v>9.257718079452232</v>
      </c>
      <c r="AN20" s="25">
        <v>2829</v>
      </c>
      <c r="AO20" s="39">
        <v>0.14947691007080208</v>
      </c>
      <c r="AP20" s="8">
        <v>8.6139978791092258</v>
      </c>
      <c r="AQ20" s="9">
        <v>18926</v>
      </c>
      <c r="AR20" s="70">
        <f t="shared" si="13"/>
        <v>505.05431039349651</v>
      </c>
      <c r="AS20" s="78">
        <f t="shared" si="14"/>
        <v>11.919278790587812</v>
      </c>
      <c r="AT20" s="25">
        <v>1228</v>
      </c>
      <c r="AU20" s="39">
        <v>0.11057086259679452</v>
      </c>
      <c r="AV20" s="8">
        <v>6.6026058631921822</v>
      </c>
      <c r="AW20" s="9">
        <v>11106</v>
      </c>
      <c r="AX20" s="70">
        <f t="shared" si="29"/>
        <v>261.77800000000002</v>
      </c>
      <c r="AY20" s="78">
        <f t="shared" si="30"/>
        <v>4.7353889250814341</v>
      </c>
      <c r="AZ20" s="25">
        <v>3098</v>
      </c>
      <c r="BA20" s="9">
        <v>71235</v>
      </c>
      <c r="BB20" s="44">
        <f t="shared" si="15"/>
        <v>4348.9857513862571</v>
      </c>
      <c r="BC20" s="8">
        <v>5.177104377104377</v>
      </c>
      <c r="BD20" s="70">
        <f t="shared" si="16"/>
        <v>444.25250270784773</v>
      </c>
      <c r="BE20" s="78">
        <f t="shared" si="17"/>
        <v>6.3012097981051305</v>
      </c>
      <c r="BF20" s="25">
        <v>1360</v>
      </c>
      <c r="BG20" s="9">
        <v>70561</v>
      </c>
      <c r="BH20" s="44">
        <f t="shared" si="18"/>
        <v>1927.410325817378</v>
      </c>
      <c r="BI20" s="8">
        <v>5.1360294117647056</v>
      </c>
      <c r="BJ20" s="70">
        <f t="shared" si="19"/>
        <v>320.86157059860307</v>
      </c>
      <c r="BK20" s="78">
        <f t="shared" si="20"/>
        <v>4.5149437361628575</v>
      </c>
      <c r="BL20" s="25">
        <v>176</v>
      </c>
      <c r="BM20" s="9">
        <v>152550</v>
      </c>
      <c r="BN20" s="44">
        <f t="shared" si="21"/>
        <v>115.3720091773189</v>
      </c>
      <c r="BO20" s="8">
        <v>4.1363636363636402</v>
      </c>
      <c r="BP20" s="70">
        <f t="shared" si="22"/>
        <v>20.131154312298577</v>
      </c>
      <c r="BQ20" s="78">
        <f t="shared" si="23"/>
        <v>0.22813636891895048</v>
      </c>
      <c r="BR20" s="25">
        <v>2194</v>
      </c>
      <c r="BS20" s="8">
        <v>7.0560619872379213</v>
      </c>
      <c r="BT20" s="39">
        <f t="shared" si="2"/>
        <v>3.1093663638553877E-2</v>
      </c>
      <c r="BU20" s="81">
        <v>70561</v>
      </c>
      <c r="BV20" s="70">
        <f t="shared" si="24"/>
        <v>531.61072757602983</v>
      </c>
      <c r="BW20" s="83">
        <f t="shared" si="25"/>
        <v>10.276926703718132</v>
      </c>
      <c r="BX20" s="73">
        <v>9.5000000000000001E-2</v>
      </c>
      <c r="BY20" s="39">
        <v>0.10266666666666664</v>
      </c>
      <c r="BZ20" s="9">
        <v>39169</v>
      </c>
      <c r="CA20" s="9">
        <f t="shared" si="26"/>
        <v>4021.3506666666658</v>
      </c>
      <c r="CB20" s="70">
        <f t="shared" si="3"/>
        <v>2180.4076666666656</v>
      </c>
      <c r="CC20" s="78">
        <f t="shared" si="27"/>
        <v>38.829177625570757</v>
      </c>
      <c r="CD20" s="104">
        <v>0.25917904866255387</v>
      </c>
      <c r="CE20" s="104">
        <v>0.27042474757521995</v>
      </c>
      <c r="CF20" s="110">
        <v>4.4014084507042256E-3</v>
      </c>
      <c r="CG20" s="110">
        <v>1.9448946515397084E-2</v>
      </c>
    </row>
    <row r="21" spans="1:85" ht="11.5" x14ac:dyDescent="0.3">
      <c r="B21" s="1" t="s">
        <v>14</v>
      </c>
      <c r="C21" s="122">
        <v>580.88440154176271</v>
      </c>
      <c r="D21" s="122">
        <v>454</v>
      </c>
      <c r="E21" s="123">
        <v>23.214285714285715</v>
      </c>
      <c r="F21" s="3">
        <v>0.87457674583677614</v>
      </c>
      <c r="G21" s="90">
        <v>436.93972602739728</v>
      </c>
      <c r="H21" s="26">
        <v>48.923287671232877</v>
      </c>
      <c r="I21" s="89">
        <f t="shared" si="28"/>
        <v>11.196804675106437</v>
      </c>
      <c r="J21" s="26">
        <v>12.882191780821918</v>
      </c>
      <c r="K21" s="89">
        <f t="shared" si="4"/>
        <v>2.9482766188245764</v>
      </c>
      <c r="L21" s="25">
        <v>8892</v>
      </c>
      <c r="M21" s="9">
        <v>281138</v>
      </c>
      <c r="N21" s="23">
        <f t="shared" si="5"/>
        <v>3.1628595209470083E-2</v>
      </c>
      <c r="O21" s="9">
        <v>51016</v>
      </c>
      <c r="P21" s="87">
        <f t="shared" si="6"/>
        <v>0.17429825936960952</v>
      </c>
      <c r="Q21" s="25">
        <v>2334</v>
      </c>
      <c r="R21" s="9">
        <v>976</v>
      </c>
      <c r="S21" s="9">
        <v>2358</v>
      </c>
      <c r="T21" s="9">
        <v>971</v>
      </c>
      <c r="U21" s="9">
        <f t="shared" si="7"/>
        <v>1358</v>
      </c>
      <c r="V21" s="9">
        <f t="shared" si="8"/>
        <v>1387</v>
      </c>
      <c r="W21" s="23">
        <f t="shared" si="9"/>
        <v>0.5882103477523325</v>
      </c>
      <c r="X21" s="104">
        <f t="shared" si="10"/>
        <v>0.58183376178234791</v>
      </c>
      <c r="Y21" s="25">
        <v>2007</v>
      </c>
      <c r="Z21" s="9">
        <v>72</v>
      </c>
      <c r="AA21" s="10">
        <f t="shared" si="11"/>
        <v>3.5874439461883408E-2</v>
      </c>
      <c r="AB21" s="117">
        <v>0.92</v>
      </c>
      <c r="AC21" s="85">
        <f t="shared" si="31"/>
        <v>9.7830000000000013</v>
      </c>
      <c r="AD21" s="86">
        <f>IF(AC21/'Data - beräkning av pot vårdpla'!$E$40&lt;=0,"",AC21/((24*7*52)/('Data - beräkning av pot vårdpla'!$E$37*'Data - insamling av data'!$AB21*'Data - beräkning av pot vårdpla'!$E$38)*'Data - beräkning av pot vårdpla'!$E$36))</f>
        <v>9.8781423626373641</v>
      </c>
      <c r="AE21" s="105">
        <v>2652</v>
      </c>
      <c r="AF21" s="62">
        <v>158.99999999999994</v>
      </c>
      <c r="AG21" s="10">
        <f t="shared" si="12"/>
        <v>5.9954751131221701E-2</v>
      </c>
      <c r="AH21" s="62">
        <f t="shared" si="32"/>
        <v>120.32918552036196</v>
      </c>
      <c r="AI21" s="85">
        <f t="shared" si="33"/>
        <v>-7.6070694597178914</v>
      </c>
      <c r="AJ21" s="86" t="str">
        <f>IF((AI21/'Data - beräkning av pot vårdpla'!$E$40)*'Data - beräkning av pot vårdpla'!$E$41&gt;0,(AI21/((24*7*52)/('Data - beräkning av pot vårdpla'!$E$37*'Data - insamling av data'!$AB21*'Data - beräkning av pot vårdpla'!$E$38)*'Data - beräkning av pot vårdpla'!$E$36))*'Data - beräkning av pot vårdpla'!$E$41,"")</f>
        <v/>
      </c>
      <c r="AK21" s="106">
        <f t="shared" si="0"/>
        <v>2.9482766188245767E-2</v>
      </c>
      <c r="AL21" s="62">
        <v>12.882191780821918</v>
      </c>
      <c r="AM21" s="86">
        <f t="shared" si="1"/>
        <v>7.9040338349995993</v>
      </c>
      <c r="AN21" s="25">
        <v>2405</v>
      </c>
      <c r="AO21" s="39">
        <v>0.15061372745490981</v>
      </c>
      <c r="AP21" s="8">
        <v>8.2773388773388774</v>
      </c>
      <c r="AQ21" s="9">
        <v>15968</v>
      </c>
      <c r="AR21" s="70">
        <f t="shared" si="13"/>
        <v>444.27059222040316</v>
      </c>
      <c r="AS21" s="78">
        <f t="shared" si="14"/>
        <v>10.075008890532356</v>
      </c>
      <c r="AT21" s="25">
        <v>1089</v>
      </c>
      <c r="AU21" s="39">
        <v>0.10730121194206325</v>
      </c>
      <c r="AV21" s="8">
        <v>6.2791551882460972</v>
      </c>
      <c r="AW21" s="9">
        <v>10149</v>
      </c>
      <c r="AX21" s="70">
        <f t="shared" si="29"/>
        <v>206.03700000000003</v>
      </c>
      <c r="AY21" s="78">
        <f t="shared" si="30"/>
        <v>3.544488486357976</v>
      </c>
      <c r="AZ21" s="25">
        <v>2270</v>
      </c>
      <c r="BA21" s="9">
        <v>60934</v>
      </c>
      <c r="BB21" s="44">
        <f t="shared" si="15"/>
        <v>3725.3421734991957</v>
      </c>
      <c r="BC21" s="8">
        <v>5.3311004784688993</v>
      </c>
      <c r="BD21" s="70">
        <f t="shared" si="16"/>
        <v>0</v>
      </c>
      <c r="BE21" s="78" t="str">
        <f t="shared" si="17"/>
        <v/>
      </c>
      <c r="BF21" s="25">
        <v>870</v>
      </c>
      <c r="BG21" s="9">
        <v>60332</v>
      </c>
      <c r="BH21" s="44">
        <f t="shared" si="18"/>
        <v>1442.0208181396274</v>
      </c>
      <c r="BI21" s="8">
        <v>5.7505747126436786</v>
      </c>
      <c r="BJ21" s="70">
        <f t="shared" si="19"/>
        <v>-18.497891507278496</v>
      </c>
      <c r="BK21" s="78" t="str">
        <f t="shared" si="20"/>
        <v/>
      </c>
      <c r="BL21" s="25">
        <v>140</v>
      </c>
      <c r="BM21" s="9">
        <v>157460</v>
      </c>
      <c r="BN21" s="44">
        <f t="shared" si="21"/>
        <v>88.911469579575765</v>
      </c>
      <c r="BO21" s="8">
        <v>4.3</v>
      </c>
      <c r="BP21" s="70">
        <f t="shared" si="22"/>
        <v>-20.885666614129576</v>
      </c>
      <c r="BQ21" s="78" t="str">
        <f t="shared" si="23"/>
        <v/>
      </c>
      <c r="BR21" s="25">
        <v>1839</v>
      </c>
      <c r="BS21" s="8">
        <v>9.4219684611201746</v>
      </c>
      <c r="BT21" s="39">
        <f t="shared" si="2"/>
        <v>3.0481336604123849E-2</v>
      </c>
      <c r="BU21" s="81">
        <v>60332</v>
      </c>
      <c r="BV21" s="70">
        <f t="shared" si="24"/>
        <v>417.60192480431169</v>
      </c>
      <c r="BW21" s="83">
        <f t="shared" si="25"/>
        <v>10.779814150162476</v>
      </c>
      <c r="BX21" s="73">
        <v>5.2999999999999999E-2</v>
      </c>
      <c r="BY21" s="39">
        <v>5.5600000000000004E-2</v>
      </c>
      <c r="BZ21" s="9">
        <v>35291</v>
      </c>
      <c r="CA21" s="9">
        <f t="shared" si="26"/>
        <v>1962.1796000000002</v>
      </c>
      <c r="CB21" s="70">
        <f t="shared" si="3"/>
        <v>303.5025999999998</v>
      </c>
      <c r="CC21" s="78">
        <f t="shared" si="27"/>
        <v>5.404840821917805</v>
      </c>
      <c r="CD21" s="104">
        <v>0.2826174453410521</v>
      </c>
      <c r="CE21" s="104">
        <v>0.27101494773273355</v>
      </c>
      <c r="CF21" s="110">
        <v>8.2244799225931302E-3</v>
      </c>
      <c r="CG21" s="110">
        <v>2.1461187214611873E-2</v>
      </c>
    </row>
    <row r="22" spans="1:85" ht="11.5" x14ac:dyDescent="0.3">
      <c r="B22" s="1" t="s">
        <v>15</v>
      </c>
      <c r="C22" s="122">
        <v>418.79125944191293</v>
      </c>
      <c r="D22" s="122">
        <v>343.99</v>
      </c>
      <c r="E22" s="123">
        <v>11.25</v>
      </c>
      <c r="F22" s="3">
        <v>0.85563122923588031</v>
      </c>
      <c r="G22" s="90">
        <v>337.60821917808221</v>
      </c>
      <c r="H22" s="26">
        <v>24.12054794520548</v>
      </c>
      <c r="I22" s="89">
        <f t="shared" si="28"/>
        <v>7.1445381288191712</v>
      </c>
      <c r="J22" s="26">
        <v>7.5342465753424657</v>
      </c>
      <c r="K22" s="89">
        <f t="shared" si="4"/>
        <v>2.2316537771754565</v>
      </c>
      <c r="L22" s="25">
        <v>11906</v>
      </c>
      <c r="M22" s="9">
        <v>241458</v>
      </c>
      <c r="N22" s="23">
        <f t="shared" si="5"/>
        <v>4.9308782479768741E-2</v>
      </c>
      <c r="O22" s="9">
        <v>62967</v>
      </c>
      <c r="P22" s="87">
        <f t="shared" si="6"/>
        <v>0.18908317054965298</v>
      </c>
      <c r="Q22" s="25">
        <v>616</v>
      </c>
      <c r="R22" s="9">
        <v>405</v>
      </c>
      <c r="S22" s="9">
        <v>542</v>
      </c>
      <c r="T22" s="9">
        <v>380</v>
      </c>
      <c r="U22" s="9">
        <f t="shared" si="7"/>
        <v>211</v>
      </c>
      <c r="V22" s="9">
        <f t="shared" si="8"/>
        <v>162</v>
      </c>
      <c r="W22" s="23">
        <f t="shared" si="9"/>
        <v>0.2988929889298893</v>
      </c>
      <c r="X22" s="104">
        <f t="shared" si="10"/>
        <v>0.34253246753246752</v>
      </c>
      <c r="Y22" s="25">
        <v>1091</v>
      </c>
      <c r="Z22" s="9">
        <v>62</v>
      </c>
      <c r="AA22" s="10">
        <f t="shared" si="11"/>
        <v>5.6828597616865262E-2</v>
      </c>
      <c r="AB22" s="117">
        <v>0.92299999999999993</v>
      </c>
      <c r="AC22" s="85">
        <f t="shared" si="31"/>
        <v>28.179000000000002</v>
      </c>
      <c r="AD22" s="86">
        <f>IF(AC22/'Data - beräkning av pot vårdpla'!$E$40&lt;=0,"",AC22/((24*7*52)/('Data - beräkning av pot vårdpla'!$E$37*'Data - insamling av data'!$AB22*'Data - beräkning av pot vårdpla'!$E$38)*'Data - beräkning av pot vårdpla'!$E$36))</f>
        <v>28.545830196428572</v>
      </c>
      <c r="AE22" s="105">
        <v>1640</v>
      </c>
      <c r="AF22" s="62">
        <v>139.00000000000011</v>
      </c>
      <c r="AG22" s="10">
        <f t="shared" si="12"/>
        <v>8.4756097560975685E-2</v>
      </c>
      <c r="AH22" s="62">
        <f t="shared" si="32"/>
        <v>92.468902439024475</v>
      </c>
      <c r="AI22" s="85">
        <f t="shared" si="33"/>
        <v>22.923085705956652</v>
      </c>
      <c r="AJ22" s="86">
        <f>IF((AI22/'Data - beräkning av pot vårdpla'!$E$40)*'Data - beräkning av pot vårdpla'!$E$41&gt;0,(AI22/((24*7*52)/('Data - beräkning av pot vårdpla'!$E$37*'Data - insamling av data'!$AB22*'Data - beräkning av pot vårdpla'!$E$38)*'Data - beräkning av pot vårdpla'!$E$36))*'Data - beräkning av pot vårdpla'!$E$41,"")</f>
        <v>18.577196128760214</v>
      </c>
      <c r="AK22" s="106">
        <f t="shared" si="0"/>
        <v>2.2316537771754564E-2</v>
      </c>
      <c r="AL22" s="62">
        <v>7.5342465753424657</v>
      </c>
      <c r="AM22" s="86">
        <f t="shared" si="1"/>
        <v>3.6877960496447622</v>
      </c>
      <c r="AN22" s="25">
        <v>3382</v>
      </c>
      <c r="AO22" s="39">
        <v>0.18580375782881003</v>
      </c>
      <c r="AP22" s="8">
        <v>7.1416321703134242</v>
      </c>
      <c r="AQ22" s="9">
        <v>18202</v>
      </c>
      <c r="AR22" s="70">
        <f t="shared" si="13"/>
        <v>1146.9551177101566</v>
      </c>
      <c r="AS22" s="78">
        <f t="shared" si="14"/>
        <v>22.441456346697191</v>
      </c>
      <c r="AT22" s="25">
        <v>1236</v>
      </c>
      <c r="AU22" s="39">
        <v>0.12046783625730995</v>
      </c>
      <c r="AV22" s="8">
        <v>6.6658576051779939</v>
      </c>
      <c r="AW22" s="9">
        <v>10260</v>
      </c>
      <c r="AX22" s="70">
        <f t="shared" si="29"/>
        <v>343.38000000000011</v>
      </c>
      <c r="AY22" s="78">
        <f t="shared" si="30"/>
        <v>6.2710196834685483</v>
      </c>
      <c r="AZ22" s="25">
        <v>2754</v>
      </c>
      <c r="BA22" s="9">
        <v>61269</v>
      </c>
      <c r="BB22" s="44">
        <f t="shared" si="15"/>
        <v>4494.9321843020125</v>
      </c>
      <c r="BC22" s="8">
        <v>4.738228252194733</v>
      </c>
      <c r="BD22" s="70">
        <f t="shared" si="16"/>
        <v>471.52010371877759</v>
      </c>
      <c r="BE22" s="78">
        <f t="shared" si="17"/>
        <v>6.1210133614194593</v>
      </c>
      <c r="BF22" s="25">
        <v>1063</v>
      </c>
      <c r="BG22" s="9">
        <v>60976</v>
      </c>
      <c r="BH22" s="44">
        <f t="shared" si="18"/>
        <v>1743.3088428234059</v>
      </c>
      <c r="BI22" s="8">
        <v>5.2229539040451556</v>
      </c>
      <c r="BJ22" s="70">
        <f t="shared" si="19"/>
        <v>165.01804295319539</v>
      </c>
      <c r="BK22" s="78">
        <f t="shared" si="20"/>
        <v>2.3613195388500903</v>
      </c>
      <c r="BL22" s="25">
        <v>154</v>
      </c>
      <c r="BM22" s="9">
        <v>128368</v>
      </c>
      <c r="BN22" s="44">
        <f t="shared" si="21"/>
        <v>119.9675931696373</v>
      </c>
      <c r="BO22" s="8">
        <v>3.720779220779221</v>
      </c>
      <c r="BP22" s="70">
        <f t="shared" si="22"/>
        <v>22.839252813904579</v>
      </c>
      <c r="BQ22" s="78">
        <f t="shared" si="23"/>
        <v>0.23282141722766989</v>
      </c>
      <c r="BR22" s="25">
        <v>1774</v>
      </c>
      <c r="BS22" s="8">
        <v>7.1612175873731676</v>
      </c>
      <c r="BT22" s="39">
        <f t="shared" si="2"/>
        <v>2.9093413802151667E-2</v>
      </c>
      <c r="BU22" s="81">
        <v>60976</v>
      </c>
      <c r="BV22" s="70">
        <f t="shared" si="24"/>
        <v>337.42953933016815</v>
      </c>
      <c r="BW22" s="83">
        <f t="shared" si="25"/>
        <v>6.6202913741107565</v>
      </c>
      <c r="BX22" s="73"/>
      <c r="BY22" s="39">
        <v>9.4E-2</v>
      </c>
      <c r="BZ22" s="9">
        <v>33045</v>
      </c>
      <c r="CA22" s="9">
        <f t="shared" si="26"/>
        <v>3106.23</v>
      </c>
      <c r="CB22" s="70">
        <f t="shared" si="3"/>
        <v>1553.1149999999998</v>
      </c>
      <c r="CC22" s="78">
        <f t="shared" si="27"/>
        <v>27.658212328767117</v>
      </c>
      <c r="CD22" s="104">
        <v>0.37040357209841041</v>
      </c>
      <c r="CE22" s="104">
        <v>0.26415060413907032</v>
      </c>
      <c r="CF22" s="110">
        <v>2.7194066749072928E-2</v>
      </c>
      <c r="CG22" s="110">
        <v>1.6910935738444193E-2</v>
      </c>
    </row>
    <row r="23" spans="1:85" ht="11.5" x14ac:dyDescent="0.3">
      <c r="B23" s="1" t="s">
        <v>16</v>
      </c>
      <c r="C23" s="122">
        <v>459.0882803482624</v>
      </c>
      <c r="D23" s="122">
        <v>411</v>
      </c>
      <c r="E23" s="123">
        <v>7.375</v>
      </c>
      <c r="F23" s="3">
        <v>0.8703661721238557</v>
      </c>
      <c r="G23" s="90">
        <v>374.47671232876712</v>
      </c>
      <c r="H23" s="26">
        <v>19.709589041095889</v>
      </c>
      <c r="I23" s="89">
        <f t="shared" si="28"/>
        <v>5.2632349067923085</v>
      </c>
      <c r="J23" s="26">
        <v>3.0794520547945203</v>
      </c>
      <c r="K23" s="89">
        <f t="shared" si="4"/>
        <v>0.82233472827836462</v>
      </c>
      <c r="L23" s="25">
        <v>8822</v>
      </c>
      <c r="M23" s="9">
        <v>281158</v>
      </c>
      <c r="N23" s="23">
        <f t="shared" si="5"/>
        <v>3.1377374999110821E-2</v>
      </c>
      <c r="O23" s="9">
        <v>62871</v>
      </c>
      <c r="P23" s="87">
        <f t="shared" si="6"/>
        <v>0.14031906602408106</v>
      </c>
      <c r="Q23" s="25">
        <v>1198</v>
      </c>
      <c r="R23" s="9">
        <v>530</v>
      </c>
      <c r="S23" s="9">
        <v>1112</v>
      </c>
      <c r="T23" s="9">
        <v>624</v>
      </c>
      <c r="U23" s="9">
        <f t="shared" si="7"/>
        <v>668</v>
      </c>
      <c r="V23" s="9">
        <f t="shared" si="8"/>
        <v>488</v>
      </c>
      <c r="W23" s="23">
        <f t="shared" si="9"/>
        <v>0.43884892086330934</v>
      </c>
      <c r="X23" s="104">
        <f t="shared" si="10"/>
        <v>0.55759599332220366</v>
      </c>
      <c r="Y23" s="25">
        <v>1273</v>
      </c>
      <c r="Z23" s="9">
        <v>48</v>
      </c>
      <c r="AA23" s="10">
        <f t="shared" si="11"/>
        <v>3.7706205813040065E-2</v>
      </c>
      <c r="AB23" s="117">
        <v>0.92799999999999994</v>
      </c>
      <c r="AC23" s="85">
        <f t="shared" si="31"/>
        <v>8.536999999999999</v>
      </c>
      <c r="AD23" s="86">
        <f>IF(AC23/'Data - beräkning av pot vårdpla'!$E$40&lt;=0,"",AC23/((24*7*52)/('Data - beräkning av pot vårdpla'!$E$37*'Data - insamling av data'!$AB23*'Data - beräkning av pot vårdpla'!$E$38)*'Data - beräkning av pot vårdpla'!$E$36))</f>
        <v>8.6949814065934046</v>
      </c>
      <c r="AE23" s="105">
        <v>1668</v>
      </c>
      <c r="AF23" s="62">
        <v>109.00000000000004</v>
      </c>
      <c r="AG23" s="10">
        <f t="shared" si="12"/>
        <v>6.534772182254199E-2</v>
      </c>
      <c r="AH23" s="62">
        <f t="shared" si="32"/>
        <v>83.187649880095947</v>
      </c>
      <c r="AI23" s="85">
        <f t="shared" si="33"/>
        <v>2.0402395215301112</v>
      </c>
      <c r="AJ23" s="86">
        <f>IF((AI23/'Data - beräkning av pot vårdpla'!$E$40)*'Data - beräkning av pot vårdpla'!$E$41&gt;0,(AI23/((24*7*52)/('Data - beräkning av pot vårdpla'!$E$37*'Data - insamling av data'!$AB23*'Data - beräkning av pot vårdpla'!$E$38)*'Data - beräkning av pot vårdpla'!$E$36))*'Data - beräkning av pot vårdpla'!$E$41,"")</f>
        <v>1.6623961302285435</v>
      </c>
      <c r="AK23" s="106">
        <f t="shared" si="0"/>
        <v>8.2233472827836461E-3</v>
      </c>
      <c r="AL23" s="62">
        <v>3.0794520547945203</v>
      </c>
      <c r="AM23" s="86" t="str">
        <f t="shared" si="1"/>
        <v/>
      </c>
      <c r="AN23" s="25">
        <v>2848</v>
      </c>
      <c r="AO23" s="39">
        <v>0.14954056182725126</v>
      </c>
      <c r="AP23" s="8">
        <v>6.9866573033707864</v>
      </c>
      <c r="AQ23" s="9">
        <v>19045</v>
      </c>
      <c r="AR23" s="70">
        <f t="shared" si="13"/>
        <v>509.44216112459799</v>
      </c>
      <c r="AS23" s="78">
        <f t="shared" si="14"/>
        <v>9.7515008100443001</v>
      </c>
      <c r="AT23" s="25">
        <v>1258</v>
      </c>
      <c r="AU23" s="39">
        <v>0.10567876344086022</v>
      </c>
      <c r="AV23" s="8">
        <v>6.1454689984101751</v>
      </c>
      <c r="AW23" s="9">
        <v>11904</v>
      </c>
      <c r="AX23" s="70">
        <f t="shared" si="29"/>
        <v>222.35200000000009</v>
      </c>
      <c r="AY23" s="78">
        <f t="shared" si="30"/>
        <v>3.743718692423287</v>
      </c>
      <c r="AZ23" s="25">
        <v>3050</v>
      </c>
      <c r="BA23" s="9">
        <v>62668</v>
      </c>
      <c r="BB23" s="44">
        <f t="shared" si="15"/>
        <v>4866.9177251547835</v>
      </c>
      <c r="BC23" s="8">
        <v>4.3600431965442761</v>
      </c>
      <c r="BD23" s="70">
        <f t="shared" si="16"/>
        <v>715.40256671152338</v>
      </c>
      <c r="BE23" s="78">
        <f t="shared" si="17"/>
        <v>8.5457153254270963</v>
      </c>
      <c r="BF23" s="25">
        <v>1548</v>
      </c>
      <c r="BG23" s="9">
        <v>61972</v>
      </c>
      <c r="BH23" s="44">
        <f t="shared" si="18"/>
        <v>2497.9022784483313</v>
      </c>
      <c r="BI23" s="8">
        <v>4.6912144702842378</v>
      </c>
      <c r="BJ23" s="70">
        <f t="shared" si="19"/>
        <v>635.35014034858671</v>
      </c>
      <c r="BK23" s="78">
        <f t="shared" si="20"/>
        <v>8.165928142740853</v>
      </c>
      <c r="BL23" s="25">
        <v>282</v>
      </c>
      <c r="BM23" s="9">
        <v>154003</v>
      </c>
      <c r="BN23" s="44">
        <f t="shared" si="21"/>
        <v>183.11331597436413</v>
      </c>
      <c r="BO23" s="8">
        <v>2.9574468085106385</v>
      </c>
      <c r="BP23" s="70">
        <f t="shared" si="22"/>
        <v>124.64654315016008</v>
      </c>
      <c r="BQ23" s="78">
        <f t="shared" si="23"/>
        <v>1.009960332140615</v>
      </c>
      <c r="BR23" s="25">
        <v>1904</v>
      </c>
      <c r="BS23" s="8">
        <v>7.3828781512605044</v>
      </c>
      <c r="BT23" s="39">
        <f t="shared" si="2"/>
        <v>3.0723552572129349E-2</v>
      </c>
      <c r="BU23" s="81">
        <v>61972</v>
      </c>
      <c r="BV23" s="70">
        <f t="shared" si="24"/>
        <v>443.96417297574749</v>
      </c>
      <c r="BW23" s="83">
        <f t="shared" si="25"/>
        <v>8.9800914865892754</v>
      </c>
      <c r="BX23" s="73">
        <v>0.111</v>
      </c>
      <c r="BY23" s="39">
        <v>8.7000000000000008E-2</v>
      </c>
      <c r="BZ23" s="9">
        <v>38756</v>
      </c>
      <c r="CA23" s="9">
        <f t="shared" si="26"/>
        <v>3371.7720000000004</v>
      </c>
      <c r="CB23" s="70">
        <f t="shared" si="3"/>
        <v>1550.24</v>
      </c>
      <c r="CC23" s="78">
        <f t="shared" si="27"/>
        <v>27.607013698630137</v>
      </c>
      <c r="CD23" s="104">
        <v>0.39135600870979742</v>
      </c>
      <c r="CE23" s="104">
        <v>0.32514771479799459</v>
      </c>
      <c r="CF23" s="110">
        <v>4.4052863436123352E-3</v>
      </c>
      <c r="CG23" s="110">
        <v>1.9430051813471502E-2</v>
      </c>
    </row>
    <row r="24" spans="1:85" ht="11.5" x14ac:dyDescent="0.3">
      <c r="B24" s="1" t="s">
        <v>17</v>
      </c>
      <c r="C24" s="122">
        <v>507.78267409734985</v>
      </c>
      <c r="D24" s="122">
        <v>487</v>
      </c>
      <c r="E24" s="123">
        <v>18.892857142857142</v>
      </c>
      <c r="F24" s="3">
        <v>0.88269935794849563</v>
      </c>
      <c r="G24" s="90">
        <v>389.06575342465754</v>
      </c>
      <c r="H24" s="26">
        <v>9.7726027397260271</v>
      </c>
      <c r="I24" s="89">
        <f t="shared" si="28"/>
        <v>2.5118126315937719</v>
      </c>
      <c r="J24" s="26">
        <v>7.3232876712328769</v>
      </c>
      <c r="K24" s="89">
        <f t="shared" si="4"/>
        <v>1.8822750670732136</v>
      </c>
      <c r="L24" s="25">
        <v>10575</v>
      </c>
      <c r="M24" s="9">
        <v>308375</v>
      </c>
      <c r="N24" s="23">
        <f t="shared" si="5"/>
        <v>3.4292663153627889E-2</v>
      </c>
      <c r="O24" s="9">
        <v>74944</v>
      </c>
      <c r="P24" s="87">
        <f t="shared" si="6"/>
        <v>0.1411053586678053</v>
      </c>
      <c r="Q24" s="25">
        <v>6728</v>
      </c>
      <c r="R24" s="9">
        <v>3650</v>
      </c>
      <c r="S24" s="9">
        <v>8375</v>
      </c>
      <c r="T24" s="9">
        <v>3704</v>
      </c>
      <c r="U24" s="9">
        <f t="shared" si="7"/>
        <v>3078</v>
      </c>
      <c r="V24" s="9">
        <f t="shared" si="8"/>
        <v>4671</v>
      </c>
      <c r="W24" s="23">
        <f t="shared" si="9"/>
        <v>0.55773134328358209</v>
      </c>
      <c r="X24" s="104">
        <f t="shared" si="10"/>
        <v>0.45749108204518429</v>
      </c>
      <c r="Y24" s="25">
        <v>1861</v>
      </c>
      <c r="Z24" s="9">
        <v>80</v>
      </c>
      <c r="AA24" s="10">
        <f t="shared" si="11"/>
        <v>4.2987641053197204E-2</v>
      </c>
      <c r="AB24" s="117">
        <v>0.92799999999999994</v>
      </c>
      <c r="AC24" s="85">
        <f t="shared" si="31"/>
        <v>22.308999999999997</v>
      </c>
      <c r="AD24" s="86">
        <f>IF(AC24/'Data - beräkning av pot vårdpla'!$E$40&lt;=0,"",AC24/((24*7*52)/('Data - beräkning av pot vårdpla'!$E$37*'Data - insamling av data'!$AB24*'Data - beräkning av pot vårdpla'!$E$38)*'Data - beräkning av pot vårdpla'!$E$36))</f>
        <v>22.721839076923072</v>
      </c>
      <c r="AE24" s="105">
        <v>2629</v>
      </c>
      <c r="AF24" s="62">
        <v>199.00000000000011</v>
      </c>
      <c r="AG24" s="10">
        <f t="shared" si="12"/>
        <v>7.5694180296690797E-2</v>
      </c>
      <c r="AH24" s="62">
        <f t="shared" si="32"/>
        <v>140.86686953214158</v>
      </c>
      <c r="AI24" s="85">
        <f t="shared" si="33"/>
        <v>22.23738746042828</v>
      </c>
      <c r="AJ24" s="86">
        <f>IF((AI24/'Data - beräkning av pot vårdpla'!$E$40)*'Data - beräkning av pot vårdpla'!$E$41&gt;0,(AI24/((24*7*52)/('Data - beräkning av pot vårdpla'!$E$37*'Data - insamling av data'!$AB24*'Data - beräkning av pot vårdpla'!$E$38)*'Data - beräkning av pot vårdpla'!$E$36))*'Data - beräkning av pot vårdpla'!$E$41,"")</f>
        <v>18.11912104951503</v>
      </c>
      <c r="AK24" s="106">
        <f t="shared" si="0"/>
        <v>1.8822750670732136E-2</v>
      </c>
      <c r="AL24" s="62">
        <v>7.3232876712328769</v>
      </c>
      <c r="AM24" s="86">
        <f t="shared" si="1"/>
        <v>2.8905692515374763</v>
      </c>
      <c r="AN24" s="25">
        <v>1830</v>
      </c>
      <c r="AO24" s="39">
        <v>0.11231128022585</v>
      </c>
      <c r="AP24" s="8">
        <v>6.8120218579234972</v>
      </c>
      <c r="AQ24" s="9">
        <v>16294</v>
      </c>
      <c r="AR24" s="70">
        <f t="shared" si="13"/>
        <v>-170.75932930615932</v>
      </c>
      <c r="AS24" s="78" t="str">
        <f t="shared" si="14"/>
        <v/>
      </c>
      <c r="AT24" s="25">
        <v>869</v>
      </c>
      <c r="AU24" s="39">
        <v>7.4115138592750526E-2</v>
      </c>
      <c r="AV24" s="8">
        <v>5.8135788262370545</v>
      </c>
      <c r="AW24" s="9">
        <v>11725</v>
      </c>
      <c r="AX24" s="70">
        <f t="shared" si="29"/>
        <v>-151.07499999999993</v>
      </c>
      <c r="AY24" s="78" t="str">
        <f t="shared" si="30"/>
        <v/>
      </c>
      <c r="AZ24" s="25">
        <v>2532</v>
      </c>
      <c r="BA24" s="9">
        <v>68324</v>
      </c>
      <c r="BB24" s="44">
        <f t="shared" si="15"/>
        <v>3705.8720215444064</v>
      </c>
      <c r="BC24" s="8">
        <v>4.9796794504865485</v>
      </c>
      <c r="BD24" s="70">
        <f t="shared" si="16"/>
        <v>-13.302786621590712</v>
      </c>
      <c r="BE24" s="78" t="str">
        <f t="shared" si="17"/>
        <v/>
      </c>
      <c r="BF24" s="25">
        <v>977</v>
      </c>
      <c r="BG24" s="9">
        <v>67590</v>
      </c>
      <c r="BH24" s="44">
        <f t="shared" si="18"/>
        <v>1445.4801006065986</v>
      </c>
      <c r="BI24" s="8">
        <v>4.6489252814738995</v>
      </c>
      <c r="BJ24" s="70">
        <f t="shared" si="19"/>
        <v>-18.385077354918735</v>
      </c>
      <c r="BK24" s="78" t="str">
        <f t="shared" si="20"/>
        <v/>
      </c>
      <c r="BL24" s="25">
        <v>136</v>
      </c>
      <c r="BM24" s="9">
        <v>170211</v>
      </c>
      <c r="BN24" s="44">
        <f t="shared" si="21"/>
        <v>79.90082897110058</v>
      </c>
      <c r="BO24" s="8">
        <v>3.9632352941176472</v>
      </c>
      <c r="BP24" s="70">
        <f t="shared" si="22"/>
        <v>-37.914074686000305</v>
      </c>
      <c r="BQ24" s="78" t="str">
        <f t="shared" si="23"/>
        <v/>
      </c>
      <c r="BR24" s="25">
        <v>1659</v>
      </c>
      <c r="BS24" s="8">
        <v>7.4749849306811331</v>
      </c>
      <c r="BT24" s="39">
        <f t="shared" si="2"/>
        <v>2.4545051043053705E-2</v>
      </c>
      <c r="BU24" s="81">
        <v>67590</v>
      </c>
      <c r="BV24" s="70">
        <f t="shared" si="24"/>
        <v>66.606313358141961</v>
      </c>
      <c r="BW24" s="83">
        <f t="shared" si="25"/>
        <v>1.3640580510694154</v>
      </c>
      <c r="BX24" s="73">
        <v>4.7E-2</v>
      </c>
      <c r="BY24" s="39">
        <v>6.0999999999999999E-2</v>
      </c>
      <c r="BZ24" s="9">
        <v>33604</v>
      </c>
      <c r="CA24" s="9">
        <f t="shared" si="26"/>
        <v>2049.8440000000001</v>
      </c>
      <c r="CB24" s="70">
        <f t="shared" si="3"/>
        <v>470.4559999999999</v>
      </c>
      <c r="CC24" s="78">
        <f t="shared" si="27"/>
        <v>8.3779835616438341</v>
      </c>
      <c r="CD24" s="104">
        <v>0.34373075823512594</v>
      </c>
      <c r="CE24" s="104">
        <v>0.19917318435754192</v>
      </c>
      <c r="CF24" s="110">
        <v>1.5228426395939087E-2</v>
      </c>
      <c r="CG24" s="110">
        <v>1.8685955394816153E-2</v>
      </c>
    </row>
    <row r="25" spans="1:85" ht="11.5" x14ac:dyDescent="0.3">
      <c r="B25" s="1" t="s">
        <v>18</v>
      </c>
      <c r="C25" s="122">
        <v>705.10144088049083</v>
      </c>
      <c r="D25" s="122">
        <v>638</v>
      </c>
      <c r="E25" s="123">
        <v>25.928571428571431</v>
      </c>
      <c r="F25" s="3">
        <v>0.86781400910211604</v>
      </c>
      <c r="G25" s="90">
        <v>567.78904109589041</v>
      </c>
      <c r="H25" s="26">
        <v>30.958904109589042</v>
      </c>
      <c r="I25" s="89">
        <f t="shared" si="28"/>
        <v>5.4525363944741203</v>
      </c>
      <c r="J25" s="26">
        <v>18.917808219178081</v>
      </c>
      <c r="K25" s="89">
        <f t="shared" si="4"/>
        <v>3.3318375047649376</v>
      </c>
      <c r="L25" s="25">
        <v>17260</v>
      </c>
      <c r="M25" s="9">
        <v>472446</v>
      </c>
      <c r="N25" s="23">
        <f t="shared" si="5"/>
        <v>3.6533275760616025E-2</v>
      </c>
      <c r="O25" s="9">
        <v>97949</v>
      </c>
      <c r="P25" s="87">
        <f t="shared" si="6"/>
        <v>0.17621415226291234</v>
      </c>
      <c r="Q25" s="25">
        <v>1771</v>
      </c>
      <c r="R25" s="9">
        <v>780</v>
      </c>
      <c r="S25" s="9">
        <v>1786</v>
      </c>
      <c r="T25" s="9">
        <v>1103</v>
      </c>
      <c r="U25" s="9">
        <f t="shared" si="7"/>
        <v>991</v>
      </c>
      <c r="V25" s="9">
        <f t="shared" si="8"/>
        <v>683</v>
      </c>
      <c r="W25" s="23">
        <f t="shared" si="9"/>
        <v>0.38241881298992159</v>
      </c>
      <c r="X25" s="104">
        <f t="shared" si="10"/>
        <v>0.55957086391869004</v>
      </c>
      <c r="Y25" s="25">
        <v>2423</v>
      </c>
      <c r="Z25" s="9">
        <v>97</v>
      </c>
      <c r="AA25" s="10">
        <f t="shared" si="11"/>
        <v>4.0033016921172102E-2</v>
      </c>
      <c r="AB25" s="117">
        <v>0.92400000000000004</v>
      </c>
      <c r="AC25" s="85">
        <f t="shared" si="31"/>
        <v>21.887</v>
      </c>
      <c r="AD25" s="86">
        <f>IF(AC25/'Data - beräkning av pot vårdpla'!$E$40&lt;=0,"",AC25/((24*7*52)/('Data - beräkning av pot vårdpla'!$E$37*'Data - insamling av data'!$AB25*'Data - beräkning av pot vårdpla'!$E$38)*'Data - beräkning av pot vårdpla'!$E$36))</f>
        <v>22.195943423076923</v>
      </c>
      <c r="AE25" s="105">
        <v>3140</v>
      </c>
      <c r="AF25" s="62">
        <v>201.00000000000003</v>
      </c>
      <c r="AG25" s="10">
        <f t="shared" si="12"/>
        <v>6.4012738853503198E-2</v>
      </c>
      <c r="AH25" s="62">
        <f t="shared" si="32"/>
        <v>155.10286624203826</v>
      </c>
      <c r="AI25" s="85">
        <f t="shared" si="33"/>
        <v>0.64868297510579964</v>
      </c>
      <c r="AJ25" s="86">
        <f>IF((AI25/'Data - beräkning av pot vårdpla'!$E$40)*'Data - beräkning av pot vårdpla'!$E$41&gt;0,(AI25/((24*7*52)/('Data - beräkning av pot vårdpla'!$E$37*'Data - insamling av data'!$AB25*'Data - beräkning av pot vårdpla'!$E$38)*'Data - beräkning av pot vårdpla'!$E$36))*'Data - beräkning av pot vårdpla'!$E$41,"")</f>
        <v>0.52627150783429599</v>
      </c>
      <c r="AK25" s="106">
        <f t="shared" si="0"/>
        <v>3.3318375047649375E-2</v>
      </c>
      <c r="AL25" s="62">
        <v>18.917808219178081</v>
      </c>
      <c r="AM25" s="86">
        <f t="shared" si="1"/>
        <v>12.448852987798844</v>
      </c>
      <c r="AN25" s="25">
        <v>3369</v>
      </c>
      <c r="AO25" s="39">
        <v>0.14233206590621039</v>
      </c>
      <c r="AP25" s="8">
        <v>8.2436924903532205</v>
      </c>
      <c r="AQ25" s="9">
        <v>23670</v>
      </c>
      <c r="AR25" s="70">
        <f t="shared" si="13"/>
        <v>462.53299836278438</v>
      </c>
      <c r="AS25" s="78">
        <f t="shared" si="14"/>
        <v>10.446520014092725</v>
      </c>
      <c r="AT25" s="25">
        <v>1546</v>
      </c>
      <c r="AU25" s="39">
        <v>8.8988660565244918E-2</v>
      </c>
      <c r="AV25" s="8">
        <v>5.964424320827943</v>
      </c>
      <c r="AW25" s="9">
        <v>17373</v>
      </c>
      <c r="AX25" s="70">
        <f t="shared" si="29"/>
        <v>34.549000000000206</v>
      </c>
      <c r="AY25" s="78">
        <f t="shared" si="30"/>
        <v>0.56456135852133105</v>
      </c>
      <c r="AZ25" s="25">
        <v>4069</v>
      </c>
      <c r="BA25" s="9">
        <v>101237</v>
      </c>
      <c r="BB25" s="44">
        <f t="shared" si="15"/>
        <v>4019.2814879935199</v>
      </c>
      <c r="BC25" s="8">
        <v>4.8886833697662686</v>
      </c>
      <c r="BD25" s="70">
        <f t="shared" si="16"/>
        <v>297.57534381461892</v>
      </c>
      <c r="BE25" s="78">
        <f t="shared" si="17"/>
        <v>3.9856209166000198</v>
      </c>
      <c r="BF25" s="25">
        <v>1595</v>
      </c>
      <c r="BG25" s="9">
        <v>99979</v>
      </c>
      <c r="BH25" s="44">
        <f t="shared" si="18"/>
        <v>1595.3350203542745</v>
      </c>
      <c r="BI25" s="8">
        <v>4.5517241379310347</v>
      </c>
      <c r="BJ25" s="70">
        <f t="shared" si="19"/>
        <v>122.62827860826451</v>
      </c>
      <c r="BK25" s="78">
        <f t="shared" si="20"/>
        <v>1.5292331389977247</v>
      </c>
      <c r="BL25" s="25">
        <v>289</v>
      </c>
      <c r="BM25" s="9">
        <v>265134</v>
      </c>
      <c r="BN25" s="44">
        <f t="shared" si="21"/>
        <v>109.00148604102077</v>
      </c>
      <c r="BO25" s="8">
        <v>3.8131487889273354</v>
      </c>
      <c r="BP25" s="70">
        <f t="shared" si="22"/>
        <v>18.097800507617023</v>
      </c>
      <c r="BQ25" s="78">
        <f t="shared" si="23"/>
        <v>0.18906741393936538</v>
      </c>
      <c r="BR25" s="25">
        <v>2320</v>
      </c>
      <c r="BS25" s="8">
        <v>8.0767241379310342</v>
      </c>
      <c r="BT25" s="39">
        <f t="shared" si="2"/>
        <v>2.3204873023334901E-2</v>
      </c>
      <c r="BU25" s="81">
        <v>99979</v>
      </c>
      <c r="BV25" s="70">
        <f t="shared" si="24"/>
        <v>-35.465725651225512</v>
      </c>
      <c r="BW25" s="83" t="str">
        <f t="shared" si="25"/>
        <v/>
      </c>
      <c r="BX25" s="73">
        <v>6.4000000000000001E-2</v>
      </c>
      <c r="BY25" s="39">
        <v>8.6333333333333331E-2</v>
      </c>
      <c r="BZ25" s="9">
        <v>51705</v>
      </c>
      <c r="CA25" s="9">
        <f t="shared" si="26"/>
        <v>4463.8649999999998</v>
      </c>
      <c r="CB25" s="70">
        <f t="shared" si="3"/>
        <v>2033.7299999999996</v>
      </c>
      <c r="CC25" s="78">
        <f t="shared" si="27"/>
        <v>36.217109589041087</v>
      </c>
      <c r="CD25" s="104">
        <v>0.44764258808698665</v>
      </c>
      <c r="CE25" s="104">
        <v>0.29393068436417336</v>
      </c>
      <c r="CF25" s="110">
        <v>2.247191011235955E-2</v>
      </c>
      <c r="CG25" s="110">
        <v>1.6400911161731209E-2</v>
      </c>
    </row>
    <row r="26" spans="1:85" ht="11.5" x14ac:dyDescent="0.3">
      <c r="B26" s="1" t="s">
        <v>19</v>
      </c>
      <c r="C26" s="122">
        <v>2716.9566371100486</v>
      </c>
      <c r="D26" s="122">
        <v>2209</v>
      </c>
      <c r="E26" s="123">
        <v>79.035714285714292</v>
      </c>
      <c r="F26" s="3">
        <v>0.86973381436521113</v>
      </c>
      <c r="G26" s="90">
        <v>2199.2575342465752</v>
      </c>
      <c r="H26" s="26">
        <v>211.65205479452055</v>
      </c>
      <c r="I26" s="89">
        <f t="shared" si="28"/>
        <v>9.6237958264868979</v>
      </c>
      <c r="J26" s="26">
        <v>38.057534246575344</v>
      </c>
      <c r="K26" s="89">
        <f t="shared" si="4"/>
        <v>1.730471927636849</v>
      </c>
      <c r="L26" s="25">
        <v>60504</v>
      </c>
      <c r="M26" s="9">
        <v>1772821</v>
      </c>
      <c r="N26" s="23">
        <f t="shared" si="5"/>
        <v>3.4128657095104355E-2</v>
      </c>
      <c r="O26" s="9">
        <v>256617</v>
      </c>
      <c r="P26" s="87">
        <f t="shared" si="6"/>
        <v>0.2357754942190112</v>
      </c>
      <c r="Q26" s="25">
        <v>2719</v>
      </c>
      <c r="R26" s="9">
        <v>1305</v>
      </c>
      <c r="S26" s="9">
        <v>2490</v>
      </c>
      <c r="T26" s="9">
        <v>1332</v>
      </c>
      <c r="U26" s="9">
        <f t="shared" si="7"/>
        <v>1414</v>
      </c>
      <c r="V26" s="9">
        <f t="shared" si="8"/>
        <v>1158</v>
      </c>
      <c r="W26" s="23">
        <f t="shared" si="9"/>
        <v>0.4650602409638554</v>
      </c>
      <c r="X26" s="104">
        <f t="shared" si="10"/>
        <v>0.52004413387274728</v>
      </c>
      <c r="Y26" s="25">
        <v>7843</v>
      </c>
      <c r="Z26" s="9">
        <v>381</v>
      </c>
      <c r="AA26" s="10">
        <f>Z26/Y26</f>
        <v>4.8578350121127122E-2</v>
      </c>
      <c r="AB26" s="117">
        <v>0.91599999999999993</v>
      </c>
      <c r="AC26" s="85">
        <f t="shared" si="31"/>
        <v>137.86699999999999</v>
      </c>
      <c r="AD26" s="86">
        <f>IF(AC26/'Data - beräkning av pot vårdpla'!$E$40&lt;=0,"",AC26/((24*7*52)/('Data - beräkning av pot vårdpla'!$E$37*'Data - insamling av data'!$AB26*'Data - beräkning av pot vårdpla'!$E$38)*'Data - beräkning av pot vårdpla'!$E$36))</f>
        <v>138.60254317032968</v>
      </c>
      <c r="AE26" s="105">
        <v>11491</v>
      </c>
      <c r="AF26" s="62">
        <v>836</v>
      </c>
      <c r="AG26" s="10">
        <f t="shared" si="12"/>
        <v>7.2752588982682095E-2</v>
      </c>
      <c r="AH26" s="62">
        <f t="shared" si="32"/>
        <v>570.59855539117564</v>
      </c>
      <c r="AI26" s="85">
        <f t="shared" si="33"/>
        <v>70.646364156115226</v>
      </c>
      <c r="AJ26" s="86">
        <f>IF((AI26/'Data - beräkning av pot vårdpla'!$E$40)*'Data - beräkning av pot vårdpla'!$E$41&gt;0,(AI26/((24*7*52)/('Data - beräkning av pot vårdpla'!$E$37*'Data - insamling av data'!$AB26*'Data - beräkning av pot vårdpla'!$E$38)*'Data - beräkning av pot vårdpla'!$E$36))*'Data - beräkning av pot vårdpla'!$E$41,"")</f>
        <v>56.818619323114547</v>
      </c>
      <c r="AK26" s="106">
        <f t="shared" si="0"/>
        <v>1.730471927636849E-2</v>
      </c>
      <c r="AL26" s="62">
        <v>38.057534246575344</v>
      </c>
      <c r="AM26" s="86">
        <f t="shared" si="1"/>
        <v>13.000871469401577</v>
      </c>
      <c r="AN26" s="25">
        <v>11475</v>
      </c>
      <c r="AO26" s="39">
        <v>0.13182382133995038</v>
      </c>
      <c r="AP26" s="8">
        <v>8.7974727668845318</v>
      </c>
      <c r="AQ26" s="9">
        <v>87048</v>
      </c>
      <c r="AR26" s="70">
        <f t="shared" si="13"/>
        <v>786.27420538587467</v>
      </c>
      <c r="AS26" s="78">
        <f t="shared" si="14"/>
        <v>18.951303860783582</v>
      </c>
      <c r="AT26" s="25">
        <v>5784</v>
      </c>
      <c r="AU26" s="39">
        <v>8.4988832725990365E-2</v>
      </c>
      <c r="AV26" s="8">
        <v>6.6175656984785611</v>
      </c>
      <c r="AW26" s="9">
        <v>68056</v>
      </c>
      <c r="AX26" s="70">
        <f t="shared" si="29"/>
        <v>-136.87199999999939</v>
      </c>
      <c r="AY26" s="78" t="str">
        <f t="shared" si="30"/>
        <v/>
      </c>
      <c r="AZ26" s="25">
        <v>13108</v>
      </c>
      <c r="BA26" s="9">
        <v>359559</v>
      </c>
      <c r="BB26" s="44">
        <f>(AZ26/BA26)*100000</f>
        <v>3645.5769428661224</v>
      </c>
      <c r="BC26" s="8">
        <v>5.8030031376064546</v>
      </c>
      <c r="BD26" s="70">
        <f t="shared" si="16"/>
        <v>-286.80306561197358</v>
      </c>
      <c r="BE26" s="78" t="str">
        <f t="shared" si="17"/>
        <v/>
      </c>
      <c r="BF26" s="25">
        <v>5546</v>
      </c>
      <c r="BG26" s="9">
        <v>354242</v>
      </c>
      <c r="BH26" s="44">
        <f t="shared" si="18"/>
        <v>1565.5964002009925</v>
      </c>
      <c r="BI26" s="8">
        <v>6.2623512441399205</v>
      </c>
      <c r="BJ26" s="70">
        <f t="shared" si="19"/>
        <v>329.14542724720923</v>
      </c>
      <c r="BK26" s="78">
        <f t="shared" si="20"/>
        <v>5.647189796779525</v>
      </c>
      <c r="BL26" s="25">
        <v>1035</v>
      </c>
      <c r="BM26" s="9">
        <v>1010628</v>
      </c>
      <c r="BN26" s="44">
        <f t="shared" si="21"/>
        <v>102.41156983578527</v>
      </c>
      <c r="BO26" s="8">
        <v>4.3787439613526571</v>
      </c>
      <c r="BP26" s="70">
        <f t="shared" si="22"/>
        <v>2.3849899726626518</v>
      </c>
      <c r="BQ26" s="78">
        <f t="shared" si="23"/>
        <v>2.8611672440228015E-2</v>
      </c>
      <c r="BR26" s="25">
        <v>8750</v>
      </c>
      <c r="BS26" s="8">
        <v>8.7836571428571428</v>
      </c>
      <c r="BT26" s="39">
        <f t="shared" si="2"/>
        <v>2.4700628383986088E-2</v>
      </c>
      <c r="BU26" s="81">
        <v>354242</v>
      </c>
      <c r="BV26" s="70">
        <f t="shared" si="24"/>
        <v>404.19848582060877</v>
      </c>
      <c r="BW26" s="83">
        <f t="shared" si="25"/>
        <v>9.7269614167403606</v>
      </c>
      <c r="BX26" s="73">
        <v>0.107</v>
      </c>
      <c r="BY26" s="39">
        <v>9.2999999999999985E-2</v>
      </c>
      <c r="BZ26" s="9">
        <v>197048</v>
      </c>
      <c r="CA26" s="9">
        <f t="shared" si="26"/>
        <v>18325.463999999996</v>
      </c>
      <c r="CB26" s="70">
        <f t="shared" si="3"/>
        <v>9064.2079999999951</v>
      </c>
      <c r="CC26" s="78">
        <f t="shared" si="27"/>
        <v>161.41740273972596</v>
      </c>
      <c r="CD26" s="104">
        <v>0.27007692783905696</v>
      </c>
      <c r="CE26" s="104">
        <v>0.35616396481207713</v>
      </c>
      <c r="CF26" s="110">
        <v>2.3460790667530783E-2</v>
      </c>
      <c r="CG26" s="110">
        <v>2.6997840172786176E-2</v>
      </c>
    </row>
    <row r="27" spans="1:85" s="18" customFormat="1" x14ac:dyDescent="0.25">
      <c r="B27" s="18" t="s">
        <v>54</v>
      </c>
      <c r="C27" s="30">
        <f>SUM(C6:C26)</f>
        <v>17082.558034532271</v>
      </c>
      <c r="D27" s="30">
        <f>SUM(D6:D26)</f>
        <v>15217.622805261846</v>
      </c>
      <c r="E27" s="38">
        <f>SUM(E6:E26)</f>
        <v>455.50595238095241</v>
      </c>
      <c r="F27" s="27">
        <v>0.86860070050879656</v>
      </c>
      <c r="G27" s="115">
        <v>13732.090410958905</v>
      </c>
      <c r="H27" s="114">
        <f>SUM(H6:H26)</f>
        <v>777.26301369863017</v>
      </c>
      <c r="I27" s="28">
        <f t="shared" si="28"/>
        <v>5.6601944091362446</v>
      </c>
      <c r="J27" s="103">
        <v>230.17534246575343</v>
      </c>
      <c r="K27" s="28">
        <f t="shared" si="4"/>
        <v>1.6761857486902494</v>
      </c>
      <c r="L27" s="18">
        <f>SUM(L6:L26)</f>
        <v>361164</v>
      </c>
      <c r="O27" s="30">
        <f>SUM(O6:O26)</f>
        <v>1806262</v>
      </c>
      <c r="P27" s="31">
        <f>L27/O27</f>
        <v>0.19995105914867278</v>
      </c>
      <c r="W27" s="27">
        <f>AVERAGE(V6:V26)/AVERAGE(S6:S26)</f>
        <v>0.44681827284216341</v>
      </c>
      <c r="X27" s="31">
        <f>AVERAGE(U6:U26)/AVERAGE(Q6:Q26)</f>
        <v>0.43607854912817573</v>
      </c>
      <c r="Y27" s="30">
        <v>47232</v>
      </c>
      <c r="Z27" s="30">
        <v>1861</v>
      </c>
      <c r="AA27" s="34">
        <f>Z27/Y27</f>
        <v>3.9401253387533877E-2</v>
      </c>
      <c r="AB27" s="34">
        <v>0.91900000000000004</v>
      </c>
      <c r="AC27" s="34"/>
      <c r="AD27" s="34"/>
      <c r="AE27" s="18">
        <v>66277</v>
      </c>
      <c r="AF27" s="18">
        <v>5056</v>
      </c>
      <c r="AG27" s="34">
        <f>SUM(AF6:AF26)/SUM(AE6:AE26)</f>
        <v>7.6285891033088402E-2</v>
      </c>
      <c r="AK27" s="34">
        <f>SUM(AL6:AL26)/SUM(G6:G26)</f>
        <v>1.6762419331829623E-2</v>
      </c>
      <c r="AL27" s="36">
        <v>230.17534246575343</v>
      </c>
      <c r="AM27" s="36"/>
      <c r="AN27" s="30">
        <v>82077</v>
      </c>
      <c r="AO27" s="34">
        <v>0.13931639454731551</v>
      </c>
      <c r="AP27" s="38">
        <v>7.7570452136408496</v>
      </c>
      <c r="AQ27" s="30">
        <v>589141</v>
      </c>
      <c r="AR27" s="30"/>
      <c r="AS27" s="30"/>
      <c r="AT27" s="30">
        <v>39534</v>
      </c>
      <c r="AU27" s="34">
        <v>9.3911010919940238E-2</v>
      </c>
      <c r="AV27" s="38">
        <v>6.0277735619972681</v>
      </c>
      <c r="AW27" s="30">
        <v>420973</v>
      </c>
      <c r="AX27" s="30"/>
      <c r="AY27" s="30"/>
      <c r="AZ27" s="30">
        <f>SUM(AZ6:AZ26)</f>
        <v>94312</v>
      </c>
      <c r="BA27" s="30">
        <v>2206488</v>
      </c>
      <c r="BB27" s="43">
        <f>(AZ27/BA27)*100000</f>
        <v>4274.3037804873629</v>
      </c>
      <c r="BF27" s="30">
        <f>SUM(BF6:BF26)</f>
        <v>40453</v>
      </c>
      <c r="BG27" s="30">
        <v>2174752</v>
      </c>
      <c r="BH27" s="43">
        <f t="shared" si="18"/>
        <v>1860.1201424346316</v>
      </c>
      <c r="BL27" s="30">
        <f>SUM(BL6:BL26)</f>
        <v>6749</v>
      </c>
      <c r="BM27" s="30">
        <v>5960696</v>
      </c>
      <c r="BN27" s="43">
        <f t="shared" si="21"/>
        <v>113.22503278140674</v>
      </c>
      <c r="BR27" s="30">
        <v>60550</v>
      </c>
      <c r="BS27" s="114">
        <v>8.1049710982658958</v>
      </c>
      <c r="BT27" s="45">
        <f t="shared" si="2"/>
        <v>2.7842255116905284E-2</v>
      </c>
      <c r="BU27" s="30">
        <v>2174752</v>
      </c>
      <c r="BV27" s="30"/>
      <c r="BW27" s="30"/>
      <c r="BX27" s="19">
        <v>6.8000000000000005E-2</v>
      </c>
      <c r="BY27" s="37">
        <v>8.5999999999999993E-2</v>
      </c>
      <c r="BZ27" s="30">
        <f>SUM(BZ6:BZ26)</f>
        <v>1270662</v>
      </c>
      <c r="CD27" s="31">
        <v>0.27916088746521189</v>
      </c>
      <c r="CE27" s="31">
        <v>0.33607565503260767</v>
      </c>
      <c r="CF27" s="34">
        <v>1.4811881188118811E-2</v>
      </c>
      <c r="CG27" s="34">
        <v>2.2031793947951409E-2</v>
      </c>
    </row>
    <row r="28" spans="1:85" x14ac:dyDescent="0.25">
      <c r="BX28" s="17"/>
      <c r="BY28" s="17"/>
    </row>
    <row r="29" spans="1:85" x14ac:dyDescent="0.25">
      <c r="B29" s="1" t="s">
        <v>33</v>
      </c>
      <c r="O29" s="1" t="s">
        <v>58</v>
      </c>
      <c r="Q29" s="1" t="s">
        <v>63</v>
      </c>
      <c r="Y29" s="1" t="s">
        <v>34</v>
      </c>
      <c r="AK29" s="1" t="s">
        <v>36</v>
      </c>
      <c r="AL29" s="1" t="s">
        <v>36</v>
      </c>
      <c r="AT29" s="1" t="s">
        <v>70</v>
      </c>
      <c r="BA29" s="1" t="s">
        <v>72</v>
      </c>
      <c r="CC29" s="72" t="s">
        <v>130</v>
      </c>
    </row>
    <row r="30" spans="1:85" s="20" customFormat="1" ht="14.5" x14ac:dyDescent="0.35">
      <c r="A30" s="1"/>
      <c r="B30" s="20" t="s">
        <v>26</v>
      </c>
      <c r="F30" s="20">
        <f>SMALL(F6:F27,4)</f>
        <v>0.85977840647682091</v>
      </c>
      <c r="I30" s="119">
        <v>1.7</v>
      </c>
      <c r="K30" s="29">
        <f>SMALL(K6:K26,4)</f>
        <v>1.13932372116473</v>
      </c>
      <c r="L30" s="21"/>
      <c r="M30" s="21"/>
      <c r="P30" s="32">
        <f>SMALL(P6:P26,4)</f>
        <v>0.1411053586678053</v>
      </c>
      <c r="W30" s="24">
        <f>SMALL(W6:W26,4)</f>
        <v>0.29806598407280999</v>
      </c>
      <c r="X30" s="24">
        <f>SMALL(X6:X26,4)</f>
        <v>0.2423469387755102</v>
      </c>
      <c r="AA30" s="120">
        <v>3.1E-2</v>
      </c>
      <c r="AB30" s="35"/>
      <c r="AC30" s="35"/>
      <c r="AD30" s="35"/>
      <c r="AG30" s="35">
        <f>SMALL(AG6:AG26,4)</f>
        <v>6.3745019920318807E-2</v>
      </c>
      <c r="AK30" s="35">
        <f>SMALL(AK6:AK26,4)</f>
        <v>1.1393237211647299E-2</v>
      </c>
      <c r="AO30" s="35">
        <f>SMALL(AO6:AO26,4)</f>
        <v>0.12279117032687856</v>
      </c>
      <c r="AU30" s="120">
        <v>8.6999999999999994E-2</v>
      </c>
      <c r="AZ30" s="42"/>
      <c r="BB30" s="42">
        <f>SMALL(BB6:BB26,4)</f>
        <v>3725.3421734991957</v>
      </c>
      <c r="BG30" s="22"/>
      <c r="BH30" s="42">
        <f>SMALL(BH6:BH26,4)</f>
        <v>1472.6809843984595</v>
      </c>
      <c r="BN30" s="42">
        <f>SMALL(BN6:BN26,4)</f>
        <v>102.17557894965678</v>
      </c>
      <c r="BT30" s="35">
        <f>SMALL(BT6:BT26,4)</f>
        <v>2.3559604773514691E-2</v>
      </c>
      <c r="BY30" s="35">
        <f>SMALL(BY6:BY26,4)</f>
        <v>4.7000000000000007E-2</v>
      </c>
      <c r="CD30" s="32">
        <f>LARGE(CD6:CD26,4)</f>
        <v>0.37040357209841041</v>
      </c>
      <c r="CE30" s="32">
        <f>LARGE(CE6:CE26,4)</f>
        <v>0.3539332786620108</v>
      </c>
      <c r="CF30" s="35">
        <f>SMALL(CF6:CF26,4)</f>
        <v>4.4014084507042256E-3</v>
      </c>
      <c r="CG30" s="121">
        <v>1.2999999999999999E-2</v>
      </c>
    </row>
    <row r="31" spans="1:85" s="20" customFormat="1" ht="14.5" x14ac:dyDescent="0.35">
      <c r="A31" s="1"/>
      <c r="B31" s="20" t="s">
        <v>50</v>
      </c>
      <c r="I31" s="29">
        <f>SMALL(I6:I26,1)</f>
        <v>0.38983530775258629</v>
      </c>
      <c r="J31" s="21"/>
      <c r="K31" s="29">
        <f>SMALL(K6:K26,1)</f>
        <v>0.65521305948280961</v>
      </c>
      <c r="P31" s="24">
        <f>SMALL(P6:P26,1)</f>
        <v>0.11127404468213577</v>
      </c>
      <c r="W31" s="24">
        <f>SMALL(W6:W26,1)</f>
        <v>0.18576598311218334</v>
      </c>
      <c r="X31" s="32">
        <f>SMALL(X6:X26,1)</f>
        <v>0.10668563300142248</v>
      </c>
      <c r="AA31" s="33">
        <f>SMALL(AA6:AA26,1)</f>
        <v>2.7454242928452579E-2</v>
      </c>
      <c r="AB31" s="33"/>
      <c r="AC31" s="33"/>
      <c r="AD31" s="33"/>
      <c r="AG31" s="33">
        <f>SMALL(AG6:AG26,1)</f>
        <v>5.4095826893353995E-2</v>
      </c>
      <c r="AK31" s="33">
        <f>SMALL(AK6:AK26,1)</f>
        <v>6.5521305948280971E-3</v>
      </c>
      <c r="AO31" s="33">
        <f>SMALL(AO6:AO26,1)</f>
        <v>0.10400890868596882</v>
      </c>
      <c r="AU31" s="33">
        <f>SMALL(AU6:AU26,1)</f>
        <v>7.4115138592750526E-2</v>
      </c>
      <c r="BB31" s="41">
        <f>SMALL(BB6:BB26,1)</f>
        <v>3610.5440211599448</v>
      </c>
      <c r="BF31" s="22"/>
      <c r="BG31" s="22"/>
      <c r="BH31" s="41">
        <f>SMALL(BH6:BH26,1)</f>
        <v>1401.4607653411574</v>
      </c>
      <c r="BN31" s="41">
        <f>SMALL(BN6:BN26,1)</f>
        <v>79.90082897110058</v>
      </c>
      <c r="BT31" s="33">
        <f>SMALL(BT6:BT26,1)</f>
        <v>1.9466022586330699E-2</v>
      </c>
      <c r="BY31" s="33">
        <f>SMALL(BY6:BY26,1)</f>
        <v>2.9499999999999998E-2</v>
      </c>
      <c r="CD31" s="128">
        <f>SMALL(CD6:CD26,1)</f>
        <v>0.13740713360528978</v>
      </c>
      <c r="CE31" s="128">
        <f>SMALL(CE6:CE26,1)</f>
        <v>0.19917318435754192</v>
      </c>
      <c r="CF31" s="128">
        <f t="shared" ref="CF31:CG31" si="34">SMALL(CF6:CF26,1)</f>
        <v>0</v>
      </c>
      <c r="CG31" s="128">
        <f t="shared" si="34"/>
        <v>9.8199672667757774E-3</v>
      </c>
    </row>
    <row r="32" spans="1:85" s="20" customFormat="1" ht="14.5" x14ac:dyDescent="0.35">
      <c r="A32" s="1"/>
      <c r="B32" s="20" t="s">
        <v>51</v>
      </c>
      <c r="I32" s="29">
        <f>LARGE(I6:I26,1)</f>
        <v>11.196804675106437</v>
      </c>
      <c r="J32" s="21"/>
      <c r="K32" s="29">
        <f>LARGE(K6:K26,1)</f>
        <v>4.210978403141362</v>
      </c>
      <c r="P32" s="24">
        <f>LARGE(P6:P26,1)</f>
        <v>0.24201767656660561</v>
      </c>
      <c r="W32" s="24">
        <f>LARGE(W6:W26,1)</f>
        <v>0.5882103477523325</v>
      </c>
      <c r="X32" s="32">
        <f>LARGE(X6:X26,1)</f>
        <v>0.58183376178234791</v>
      </c>
      <c r="AA32" s="33">
        <f>LARGE(AA6:AA26,1)</f>
        <v>6.0309698451507743E-2</v>
      </c>
      <c r="AB32" s="33"/>
      <c r="AC32" s="33"/>
      <c r="AD32" s="33"/>
      <c r="AG32" s="33">
        <f>LARGE(AG6:AG26,1)</f>
        <v>9.9750623441396513E-2</v>
      </c>
      <c r="AK32" s="33">
        <f>LARGE(AK6:AK26,1)</f>
        <v>4.2109784031413619E-2</v>
      </c>
      <c r="AO32" s="33">
        <f>LARGE(AO6:AO26,1)</f>
        <v>0.18580375782881003</v>
      </c>
      <c r="AU32" s="33">
        <f>LARGE(AU6:AU26,1)</f>
        <v>0.12046783625730995</v>
      </c>
      <c r="BB32" s="41">
        <f>LARGE(BB6:BB26,1)</f>
        <v>5163.0402284691945</v>
      </c>
      <c r="BF32" s="22"/>
      <c r="BG32" s="22"/>
      <c r="BH32" s="41">
        <f>LARGE(BH6:BH26,1)</f>
        <v>2497.9022784483313</v>
      </c>
      <c r="BN32" s="41">
        <f>LARGE(BN6:BN26,1)</f>
        <v>183.11331597436413</v>
      </c>
      <c r="BT32" s="33">
        <f>LARGE(BT6:BT26,1)</f>
        <v>3.6437623646014924E-2</v>
      </c>
      <c r="BY32" s="33">
        <f>LARGE(BY6:BY26,1)</f>
        <v>0.123</v>
      </c>
      <c r="CD32" s="128">
        <f>LARGE(CD6:CD26,1)</f>
        <v>0.44764258808698665</v>
      </c>
      <c r="CE32" s="128">
        <f t="shared" ref="CE32:CG32" si="35">LARGE(CE6:CE26,1)</f>
        <v>0.39094484386046402</v>
      </c>
      <c r="CF32" s="128">
        <f t="shared" si="35"/>
        <v>2.7194066749072928E-2</v>
      </c>
      <c r="CG32" s="128">
        <f t="shared" si="35"/>
        <v>3.8377986965966691E-2</v>
      </c>
    </row>
    <row r="33" spans="1:78" s="20" customFormat="1" ht="14.5" x14ac:dyDescent="0.35">
      <c r="A33" s="1"/>
      <c r="B33" s="20" t="s">
        <v>53</v>
      </c>
      <c r="I33" s="21">
        <f>AVERAGE(I6:I26)</f>
        <v>4.9067591052689421</v>
      </c>
      <c r="J33" s="21"/>
      <c r="K33" s="21">
        <f>AVERAGE(K6:K26)</f>
        <v>1.9507513461897721</v>
      </c>
      <c r="P33" s="24">
        <f>AVERAGE(P6:P26)</f>
        <v>0.18290986698282125</v>
      </c>
      <c r="W33" s="24">
        <f>AVERAGE(W6:W26)</f>
        <v>0.3907043899297899</v>
      </c>
      <c r="X33" s="24">
        <f>AVERAGE(X6:X26)</f>
        <v>0.3842706022722826</v>
      </c>
      <c r="AA33" s="33">
        <f>AVERAGE(AA6:AA26)</f>
        <v>4.0089466522385098E-2</v>
      </c>
      <c r="AB33" s="33"/>
      <c r="AC33" s="33"/>
      <c r="AD33" s="33"/>
      <c r="AG33" s="33">
        <f>AVERAGE(AG6:AG26)</f>
        <v>7.3144358382550026E-2</v>
      </c>
      <c r="AK33" s="33">
        <f>AVERAGE(AK6:AK26)</f>
        <v>1.9507513461897722E-2</v>
      </c>
      <c r="AO33" s="33">
        <f>AVERAGE(AO6:AO26)</f>
        <v>0.14536743810517411</v>
      </c>
      <c r="AU33" s="33">
        <f>AVERAGE(AU6:AU26)</f>
        <v>9.8150707171637888E-2</v>
      </c>
      <c r="BB33" s="41">
        <f>AVERAGE(BB6:BB26)</f>
        <v>4239.0695827642021</v>
      </c>
      <c r="BF33" s="22"/>
      <c r="BG33" s="22"/>
      <c r="BH33" s="41">
        <f>AVERAGE(BH6:BH26)</f>
        <v>1795.075913788319</v>
      </c>
      <c r="BN33" s="41">
        <f>AVERAGE(BN6:BN26)</f>
        <v>121.77453908576469</v>
      </c>
      <c r="BT33" s="33">
        <f>AVERAGE(BT6:BT26)</f>
        <v>2.7206769511300494E-2</v>
      </c>
      <c r="BY33" s="33">
        <f>AVERAGE(BY6:BY26)</f>
        <v>6.8625396825396826E-2</v>
      </c>
    </row>
    <row r="34" spans="1:78" ht="14.5" x14ac:dyDescent="0.35">
      <c r="B34" s="1" t="s">
        <v>66</v>
      </c>
      <c r="W34" s="4"/>
      <c r="BF34" s="6"/>
      <c r="BG34" s="6"/>
    </row>
    <row r="35" spans="1:78" ht="14.5" x14ac:dyDescent="0.35">
      <c r="Q35" s="13"/>
      <c r="R35" s="13"/>
      <c r="S35" s="13"/>
      <c r="T35" s="13"/>
      <c r="U35" s="13"/>
      <c r="V35" s="13"/>
      <c r="W35" s="13"/>
      <c r="X35" s="13"/>
      <c r="Y35" s="13"/>
      <c r="Z35" s="12"/>
      <c r="BF35" s="6"/>
      <c r="BG35" s="6"/>
    </row>
    <row r="36" spans="1:78" ht="14.5" x14ac:dyDescent="0.35">
      <c r="Q36" s="14"/>
      <c r="R36" s="14"/>
      <c r="S36" s="14"/>
      <c r="T36" s="14"/>
      <c r="U36" s="14"/>
      <c r="V36" s="14"/>
      <c r="W36" s="14"/>
      <c r="X36" s="14"/>
      <c r="Y36" s="14"/>
      <c r="Z36" s="11"/>
      <c r="BF36" s="6"/>
      <c r="BG36" s="6"/>
      <c r="BZ36" s="46"/>
    </row>
    <row r="37" spans="1:78" ht="14.5" x14ac:dyDescent="0.35">
      <c r="B37" s="57"/>
      <c r="I37"/>
      <c r="J37" s="6"/>
      <c r="K37" s="6"/>
      <c r="Q37" s="14"/>
      <c r="R37" s="14"/>
      <c r="S37" s="14"/>
      <c r="T37" s="14"/>
      <c r="U37" s="14"/>
      <c r="V37" s="14"/>
      <c r="W37" s="14"/>
      <c r="X37" s="14"/>
      <c r="Y37" s="14"/>
      <c r="Z37" s="11"/>
      <c r="BF37" s="6"/>
      <c r="BG37" s="6"/>
      <c r="BZ37" s="47"/>
    </row>
    <row r="38" spans="1:78" ht="14.5" x14ac:dyDescent="0.35">
      <c r="I38" s="56"/>
      <c r="J38" s="7"/>
      <c r="K38" s="7"/>
      <c r="Q38" s="14"/>
      <c r="R38" s="14"/>
      <c r="S38" s="14"/>
      <c r="T38" s="14"/>
      <c r="U38" s="14"/>
      <c r="V38" s="14"/>
      <c r="W38" s="14"/>
      <c r="X38" s="14"/>
      <c r="Y38" s="14"/>
      <c r="Z38" s="11"/>
      <c r="AT38" s="40"/>
      <c r="AW38" s="40"/>
      <c r="AX38" s="40"/>
      <c r="AY38" s="40"/>
      <c r="BF38" s="6"/>
      <c r="BG38" s="6"/>
      <c r="BZ38" s="47"/>
    </row>
    <row r="39" spans="1:78" ht="14.5" x14ac:dyDescent="0.35">
      <c r="B39" s="5"/>
      <c r="I39" s="6"/>
      <c r="J39" s="7"/>
      <c r="K39" s="7"/>
      <c r="Q39" s="14"/>
      <c r="R39" s="14"/>
      <c r="S39" s="14"/>
      <c r="T39" s="14"/>
      <c r="U39" s="14"/>
      <c r="V39" s="14"/>
      <c r="W39" s="14"/>
      <c r="X39" s="14"/>
      <c r="Y39" s="14"/>
      <c r="Z39" s="11"/>
      <c r="AT39" s="40"/>
      <c r="AW39" s="40"/>
      <c r="AX39" s="40"/>
      <c r="AY39" s="40"/>
      <c r="BF39" s="6"/>
      <c r="BG39" s="6"/>
      <c r="BZ39" s="47"/>
    </row>
    <row r="40" spans="1:78" ht="14.5" x14ac:dyDescent="0.35">
      <c r="I40" s="6"/>
      <c r="J40"/>
      <c r="K40"/>
      <c r="L40"/>
      <c r="M40"/>
      <c r="Q40" s="14"/>
      <c r="R40" s="14"/>
      <c r="S40" s="14"/>
      <c r="T40" s="14"/>
      <c r="U40" s="14"/>
      <c r="V40" s="14"/>
      <c r="W40" s="14"/>
      <c r="X40" s="14"/>
      <c r="Y40" s="14"/>
      <c r="Z40" s="11"/>
      <c r="AT40" s="40"/>
      <c r="AW40" s="40"/>
      <c r="AX40" s="40"/>
      <c r="AY40" s="40"/>
      <c r="BF40" s="6"/>
      <c r="BG40" s="6"/>
      <c r="BZ40" s="47"/>
    </row>
    <row r="41" spans="1:78" ht="14.5" x14ac:dyDescent="0.35">
      <c r="I41" s="6"/>
      <c r="J41"/>
      <c r="K41"/>
      <c r="L41"/>
      <c r="M41"/>
      <c r="Q41" s="14"/>
      <c r="R41" s="14"/>
      <c r="S41" s="14"/>
      <c r="T41" s="14"/>
      <c r="U41" s="14"/>
      <c r="V41" s="14"/>
      <c r="W41" s="14"/>
      <c r="X41" s="14"/>
      <c r="Y41" s="14"/>
      <c r="Z41" s="11"/>
      <c r="AT41" s="40"/>
      <c r="AW41" s="40"/>
      <c r="AX41" s="40"/>
      <c r="AY41" s="40"/>
      <c r="BF41" s="6"/>
      <c r="BG41" s="6"/>
      <c r="BZ41" s="47"/>
    </row>
    <row r="42" spans="1:78" ht="14.5" x14ac:dyDescent="0.35">
      <c r="I42" s="6"/>
      <c r="J42"/>
      <c r="K42"/>
      <c r="L42"/>
      <c r="M42"/>
      <c r="Q42" s="14"/>
      <c r="R42" s="14"/>
      <c r="S42" s="14"/>
      <c r="T42" s="14"/>
      <c r="U42" s="14"/>
      <c r="V42" s="14"/>
      <c r="W42" s="14"/>
      <c r="X42" s="14"/>
      <c r="Y42" s="14"/>
      <c r="Z42" s="11"/>
      <c r="AT42" s="40"/>
      <c r="AW42" s="40"/>
      <c r="AX42" s="40"/>
      <c r="AY42" s="40"/>
      <c r="BF42" s="6"/>
      <c r="BG42" s="6"/>
      <c r="BZ42" s="47"/>
    </row>
    <row r="43" spans="1:78" ht="14.5" x14ac:dyDescent="0.35">
      <c r="I43" s="6"/>
      <c r="J43"/>
      <c r="K43"/>
      <c r="L43"/>
      <c r="M43"/>
      <c r="Q43" s="15"/>
      <c r="R43" s="15"/>
      <c r="S43" s="15"/>
      <c r="T43" s="15"/>
      <c r="U43" s="15"/>
      <c r="V43" s="15"/>
      <c r="W43" s="15"/>
      <c r="X43" s="15"/>
      <c r="Y43" s="15"/>
      <c r="Z43" s="16"/>
      <c r="AT43" s="40"/>
      <c r="AW43" s="40"/>
      <c r="AX43" s="40"/>
      <c r="AY43" s="40"/>
      <c r="BF43" s="6"/>
      <c r="BG43" s="6"/>
      <c r="BZ43" s="47"/>
    </row>
    <row r="44" spans="1:78" ht="14.5" x14ac:dyDescent="0.35">
      <c r="I44" s="6"/>
      <c r="J44"/>
      <c r="K44"/>
      <c r="L44"/>
      <c r="M44"/>
      <c r="Q44" s="14"/>
      <c r="R44" s="14"/>
      <c r="S44" s="14"/>
      <c r="T44" s="14"/>
      <c r="U44" s="14"/>
      <c r="V44" s="14"/>
      <c r="W44" s="14"/>
      <c r="X44" s="14"/>
      <c r="Y44" s="14"/>
      <c r="Z44" s="11"/>
      <c r="AT44" s="40"/>
      <c r="AW44" s="40"/>
      <c r="AX44" s="40"/>
      <c r="AY44" s="40"/>
      <c r="BF44" s="6"/>
      <c r="BG44" s="6"/>
      <c r="BZ44" s="47"/>
    </row>
    <row r="45" spans="1:78" ht="14.5" x14ac:dyDescent="0.35">
      <c r="I45" s="6"/>
      <c r="J45"/>
      <c r="K45"/>
      <c r="L45"/>
      <c r="M45"/>
      <c r="Q45" s="14"/>
      <c r="R45" s="14"/>
      <c r="S45" s="14"/>
      <c r="T45" s="14"/>
      <c r="U45" s="14"/>
      <c r="V45" s="14"/>
      <c r="W45" s="14"/>
      <c r="X45" s="14"/>
      <c r="Y45" s="14"/>
      <c r="Z45" s="11"/>
      <c r="AT45" s="40"/>
      <c r="AW45" s="40"/>
      <c r="AX45" s="40"/>
      <c r="AY45" s="40"/>
      <c r="BF45" s="6"/>
      <c r="BG45" s="6"/>
      <c r="BZ45" s="47"/>
    </row>
    <row r="46" spans="1:78" ht="14.5" x14ac:dyDescent="0.35">
      <c r="I46" s="6"/>
      <c r="J46"/>
      <c r="K46"/>
      <c r="L46"/>
      <c r="M46"/>
      <c r="Q46" s="14"/>
      <c r="R46" s="14"/>
      <c r="S46" s="14"/>
      <c r="T46" s="14"/>
      <c r="U46" s="14"/>
      <c r="V46" s="14"/>
      <c r="W46" s="14"/>
      <c r="X46" s="14"/>
      <c r="Y46" s="14"/>
      <c r="Z46" s="11"/>
      <c r="AT46" s="40"/>
      <c r="AW46" s="40"/>
      <c r="AX46" s="40"/>
      <c r="AY46" s="40"/>
      <c r="BF46" s="6"/>
      <c r="BG46" s="6"/>
      <c r="BZ46" s="47"/>
    </row>
    <row r="47" spans="1:78" ht="14.5" x14ac:dyDescent="0.35">
      <c r="I47" s="6"/>
      <c r="J47"/>
      <c r="K47"/>
      <c r="L47"/>
      <c r="M47"/>
      <c r="Q47" s="14"/>
      <c r="R47" s="14"/>
      <c r="S47" s="14"/>
      <c r="T47" s="14"/>
      <c r="U47" s="14"/>
      <c r="V47" s="14"/>
      <c r="W47" s="14"/>
      <c r="X47" s="14"/>
      <c r="Y47" s="14"/>
      <c r="Z47" s="11"/>
      <c r="AT47" s="40"/>
      <c r="AW47" s="40"/>
      <c r="AX47" s="40"/>
      <c r="AY47" s="40"/>
      <c r="BF47" s="6"/>
      <c r="BG47" s="6"/>
      <c r="BZ47" s="47"/>
    </row>
    <row r="48" spans="1:78" ht="14.5" x14ac:dyDescent="0.35">
      <c r="I48" s="6"/>
      <c r="J48"/>
      <c r="K48"/>
      <c r="L48"/>
      <c r="M48"/>
      <c r="Q48" s="14"/>
      <c r="R48" s="14"/>
      <c r="S48" s="14"/>
      <c r="T48" s="14"/>
      <c r="U48" s="14"/>
      <c r="V48" s="14"/>
      <c r="W48" s="14"/>
      <c r="X48" s="14"/>
      <c r="Y48" s="14"/>
      <c r="Z48" s="11"/>
      <c r="AT48" s="40"/>
      <c r="AW48" s="40"/>
      <c r="AX48" s="40"/>
      <c r="AY48" s="40"/>
      <c r="BF48" s="6"/>
      <c r="BG48" s="6"/>
      <c r="BZ48" s="47"/>
    </row>
    <row r="49" spans="2:78" ht="14.5" x14ac:dyDescent="0.35">
      <c r="I49" s="6"/>
      <c r="J49"/>
      <c r="K49"/>
      <c r="L49"/>
      <c r="M49"/>
      <c r="Q49" s="14"/>
      <c r="R49" s="14"/>
      <c r="S49" s="14"/>
      <c r="T49" s="14"/>
      <c r="U49" s="14"/>
      <c r="V49" s="14"/>
      <c r="W49" s="14"/>
      <c r="X49" s="14"/>
      <c r="Y49" s="14"/>
      <c r="Z49" s="11"/>
      <c r="AT49" s="40"/>
      <c r="AW49" s="40"/>
      <c r="AX49" s="40"/>
      <c r="AY49" s="40"/>
      <c r="BF49" s="6"/>
      <c r="BG49" s="6"/>
      <c r="BZ49" s="47"/>
    </row>
    <row r="50" spans="2:78" ht="14.5" x14ac:dyDescent="0.35">
      <c r="I50" s="6"/>
      <c r="J50"/>
      <c r="K50"/>
      <c r="L50"/>
      <c r="M50"/>
      <c r="Q50" s="14"/>
      <c r="R50" s="14"/>
      <c r="S50" s="14"/>
      <c r="T50" s="14"/>
      <c r="U50" s="14"/>
      <c r="V50" s="14"/>
      <c r="W50" s="14"/>
      <c r="X50" s="14"/>
      <c r="Y50" s="14"/>
      <c r="Z50" s="11"/>
      <c r="AT50" s="40"/>
      <c r="AW50" s="40"/>
      <c r="AX50" s="40"/>
      <c r="AY50" s="40"/>
      <c r="BF50" s="6"/>
      <c r="BG50" s="6"/>
      <c r="BZ50" s="47"/>
    </row>
    <row r="51" spans="2:78" ht="14.5" x14ac:dyDescent="0.35">
      <c r="I51" s="6"/>
      <c r="J51"/>
      <c r="K51"/>
      <c r="L51"/>
      <c r="M51"/>
      <c r="Q51" s="14"/>
      <c r="R51" s="14"/>
      <c r="S51" s="14"/>
      <c r="T51" s="14"/>
      <c r="U51" s="14"/>
      <c r="V51" s="14"/>
      <c r="W51" s="14"/>
      <c r="X51" s="14"/>
      <c r="Y51" s="14"/>
      <c r="Z51" s="11"/>
      <c r="AT51" s="40"/>
      <c r="AW51" s="40"/>
      <c r="AX51" s="40"/>
      <c r="AY51" s="40"/>
      <c r="BF51" s="6"/>
      <c r="BG51" s="6"/>
      <c r="BZ51" s="47"/>
    </row>
    <row r="52" spans="2:78" ht="14.5" x14ac:dyDescent="0.35">
      <c r="I52" s="6"/>
      <c r="J52"/>
      <c r="K52"/>
      <c r="L52"/>
      <c r="M52"/>
      <c r="Q52" s="14"/>
      <c r="R52" s="14"/>
      <c r="S52" s="14"/>
      <c r="T52" s="14"/>
      <c r="U52" s="14"/>
      <c r="V52" s="14"/>
      <c r="W52" s="14"/>
      <c r="X52" s="14"/>
      <c r="Y52" s="14"/>
      <c r="Z52" s="11"/>
      <c r="AT52" s="40"/>
      <c r="AW52" s="40"/>
      <c r="AX52" s="40"/>
      <c r="AY52" s="40"/>
      <c r="BF52" s="6"/>
      <c r="BG52" s="6"/>
      <c r="BZ52" s="47"/>
    </row>
    <row r="53" spans="2:78" ht="14.5" x14ac:dyDescent="0.35">
      <c r="I53" s="6"/>
      <c r="J53"/>
      <c r="K53"/>
      <c r="L53"/>
      <c r="M53"/>
      <c r="Q53" s="14"/>
      <c r="R53" s="14"/>
      <c r="S53" s="14"/>
      <c r="T53" s="14"/>
      <c r="U53" s="14"/>
      <c r="V53" s="14"/>
      <c r="W53" s="14"/>
      <c r="X53" s="14"/>
      <c r="Y53" s="14"/>
      <c r="Z53" s="11"/>
      <c r="AT53" s="40"/>
      <c r="AW53" s="40"/>
      <c r="AX53" s="40"/>
      <c r="AY53" s="40"/>
      <c r="BZ53" s="47"/>
    </row>
    <row r="54" spans="2:78" ht="14.5" x14ac:dyDescent="0.35">
      <c r="I54" s="6"/>
      <c r="J54"/>
      <c r="K54"/>
      <c r="L54"/>
      <c r="M54"/>
      <c r="Q54" s="14"/>
      <c r="R54" s="14"/>
      <c r="S54" s="14"/>
      <c r="T54" s="14"/>
      <c r="U54" s="14"/>
      <c r="V54" s="14"/>
      <c r="W54" s="14"/>
      <c r="X54" s="14"/>
      <c r="Y54" s="14"/>
      <c r="Z54" s="11"/>
      <c r="AT54" s="40"/>
      <c r="AW54" s="40"/>
      <c r="AX54" s="40"/>
      <c r="AY54" s="40"/>
      <c r="BZ54" s="47"/>
    </row>
    <row r="55" spans="2:78" ht="14.5" x14ac:dyDescent="0.35">
      <c r="I55" s="6"/>
      <c r="J55"/>
      <c r="K55"/>
      <c r="L55"/>
      <c r="M55"/>
      <c r="Q55" s="14"/>
      <c r="R55" s="14"/>
      <c r="S55" s="14"/>
      <c r="T55" s="14"/>
      <c r="U55" s="14"/>
      <c r="V55" s="14"/>
      <c r="W55" s="14"/>
      <c r="X55" s="14"/>
      <c r="Y55" s="14"/>
      <c r="Z55" s="11"/>
      <c r="AT55" s="40"/>
      <c r="AW55" s="40"/>
      <c r="AX55" s="40"/>
      <c r="AY55" s="40"/>
      <c r="BZ55" s="47"/>
    </row>
    <row r="56" spans="2:78" ht="14.5" x14ac:dyDescent="0.35">
      <c r="I56" s="6"/>
      <c r="J56"/>
      <c r="K56"/>
      <c r="L56"/>
      <c r="M56"/>
      <c r="Q56" s="14"/>
      <c r="R56" s="14"/>
      <c r="S56" s="14"/>
      <c r="T56" s="14"/>
      <c r="U56" s="14"/>
      <c r="V56" s="14"/>
      <c r="W56" s="14"/>
      <c r="X56" s="14"/>
      <c r="Y56" s="14"/>
      <c r="Z56" s="11"/>
      <c r="AT56" s="40"/>
      <c r="AW56" s="40"/>
      <c r="AX56" s="40"/>
      <c r="AY56" s="40"/>
      <c r="BZ56" s="47"/>
    </row>
    <row r="57" spans="2:78" ht="14.5" x14ac:dyDescent="0.35">
      <c r="I57" s="6"/>
      <c r="J57"/>
      <c r="K57"/>
      <c r="L57"/>
      <c r="M57"/>
      <c r="AT57" s="40"/>
      <c r="AW57" s="40"/>
      <c r="AX57" s="40"/>
      <c r="AY57" s="40"/>
      <c r="BZ57" s="47"/>
    </row>
    <row r="58" spans="2:78" ht="14.5" x14ac:dyDescent="0.35">
      <c r="I58" s="6"/>
      <c r="J58"/>
      <c r="K58"/>
      <c r="L58"/>
      <c r="M58"/>
      <c r="AT58" s="40"/>
      <c r="AW58" s="40"/>
      <c r="AX58" s="40"/>
      <c r="AY58" s="40"/>
    </row>
    <row r="59" spans="2:78" ht="14.5" x14ac:dyDescent="0.35">
      <c r="J59"/>
      <c r="K59"/>
      <c r="L59"/>
      <c r="M59"/>
      <c r="AT59" s="40"/>
    </row>
    <row r="60" spans="2:78" ht="14.5" x14ac:dyDescent="0.35">
      <c r="J60"/>
      <c r="K60"/>
      <c r="L60"/>
      <c r="M60"/>
      <c r="AT60" s="40"/>
    </row>
    <row r="61" spans="2:78" x14ac:dyDescent="0.25">
      <c r="B61" s="18"/>
      <c r="AT61" s="40"/>
    </row>
  </sheetData>
  <sheetProtection sheet="1" objects="1" scenarios="1"/>
  <mergeCells count="14">
    <mergeCell ref="BF3:BI3"/>
    <mergeCell ref="BX3:CC3"/>
    <mergeCell ref="BR3:BW3"/>
    <mergeCell ref="BL3:BQ3"/>
    <mergeCell ref="AZ3:BE3"/>
    <mergeCell ref="AT3:AY3"/>
    <mergeCell ref="AN3:AS3"/>
    <mergeCell ref="H3:I3"/>
    <mergeCell ref="J3:K3"/>
    <mergeCell ref="L3:P3"/>
    <mergeCell ref="Q3:X3"/>
    <mergeCell ref="Y3:AD3"/>
    <mergeCell ref="AE3:AJ3"/>
    <mergeCell ref="AK3:AM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91E36-840E-4964-A41F-E36B66FC0A00}">
  <sheetPr>
    <tabColor rgb="FFD3EEFF"/>
  </sheetPr>
  <dimension ref="A2:BE41"/>
  <sheetViews>
    <sheetView zoomScale="77" zoomScaleNormal="77" workbookViewId="0">
      <selection activeCell="AI8" sqref="AI8"/>
    </sheetView>
  </sheetViews>
  <sheetFormatPr defaultColWidth="8.453125" defaultRowHeight="10.5" x14ac:dyDescent="0.25"/>
  <cols>
    <col min="1" max="1" width="1.453125" style="1" customWidth="1"/>
    <col min="2" max="3" width="8.453125" style="1"/>
    <col min="4" max="14" width="21.81640625" style="1" customWidth="1"/>
    <col min="15" max="15" width="11.81640625" style="1" customWidth="1"/>
    <col min="16" max="16384" width="8.453125" style="1"/>
  </cols>
  <sheetData>
    <row r="2" spans="1:57" s="48" customFormat="1" ht="13.5" x14ac:dyDescent="0.45">
      <c r="A2" s="1"/>
      <c r="B2" s="59" t="s">
        <v>107</v>
      </c>
      <c r="C2" s="60"/>
      <c r="D2" s="60"/>
      <c r="E2" s="60"/>
      <c r="F2" s="60"/>
      <c r="G2" s="60"/>
      <c r="H2" s="60"/>
      <c r="I2" s="60"/>
      <c r="J2" s="60"/>
      <c r="K2" s="60"/>
      <c r="L2" s="60"/>
      <c r="M2" s="91"/>
      <c r="N2" s="60"/>
      <c r="O2" s="60"/>
      <c r="P2" s="60"/>
      <c r="Q2" s="60"/>
      <c r="R2" s="60"/>
      <c r="S2" s="60"/>
    </row>
    <row r="3" spans="1:57" ht="13.5" x14ac:dyDescent="0.45">
      <c r="B3" s="50"/>
      <c r="C3" s="50"/>
      <c r="D3" s="50"/>
      <c r="E3" s="50"/>
      <c r="F3" s="50"/>
      <c r="G3" s="50"/>
      <c r="H3" s="50"/>
      <c r="I3" s="50"/>
      <c r="J3" s="50"/>
      <c r="K3" s="50"/>
      <c r="L3" s="50"/>
      <c r="M3" s="92"/>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row>
    <row r="4" spans="1:57" s="67" customFormat="1" ht="11.5" customHeight="1" x14ac:dyDescent="0.25">
      <c r="A4" s="1"/>
      <c r="B4" s="66" t="s">
        <v>108</v>
      </c>
      <c r="C4" s="66"/>
      <c r="D4" s="370" t="s">
        <v>89</v>
      </c>
      <c r="E4" s="370"/>
      <c r="F4" s="370" t="s">
        <v>123</v>
      </c>
      <c r="G4" s="370"/>
      <c r="H4" s="370"/>
      <c r="I4" s="370"/>
      <c r="J4" s="370"/>
      <c r="K4" s="370"/>
      <c r="L4" s="370"/>
      <c r="M4" s="93" t="s">
        <v>127</v>
      </c>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row>
    <row r="5" spans="1:57" ht="79" customHeight="1" x14ac:dyDescent="0.45">
      <c r="B5" s="97" t="s">
        <v>109</v>
      </c>
      <c r="C5" s="97"/>
      <c r="D5" s="98" t="s">
        <v>87</v>
      </c>
      <c r="E5" s="97" t="s">
        <v>113</v>
      </c>
      <c r="F5" s="98" t="s">
        <v>92</v>
      </c>
      <c r="G5" s="98" t="s">
        <v>93</v>
      </c>
      <c r="H5" s="98" t="s">
        <v>124</v>
      </c>
      <c r="I5" s="98" t="s">
        <v>94</v>
      </c>
      <c r="J5" s="98" t="s">
        <v>95</v>
      </c>
      <c r="K5" s="98" t="s">
        <v>217</v>
      </c>
      <c r="L5" s="98" t="s">
        <v>97</v>
      </c>
      <c r="M5" s="99" t="s">
        <v>101</v>
      </c>
      <c r="N5" s="100" t="s">
        <v>137</v>
      </c>
      <c r="O5" s="50" t="s">
        <v>205</v>
      </c>
      <c r="P5" s="50" t="s">
        <v>206</v>
      </c>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row>
    <row r="6" spans="1:57" ht="13.5" x14ac:dyDescent="0.45">
      <c r="B6" s="50" t="s">
        <v>110</v>
      </c>
      <c r="C6" s="50"/>
      <c r="D6" s="52">
        <f>'Data - insamling av data'!AA27</f>
        <v>3.9401253387533877E-2</v>
      </c>
      <c r="E6" s="52">
        <f>'Data - insamling av data'!AG27</f>
        <v>7.6285891033088402E-2</v>
      </c>
      <c r="F6" s="52">
        <f>'Data - insamling av data'!AO27</f>
        <v>0.13931639454731551</v>
      </c>
      <c r="G6" s="52">
        <f>'Data - insamling av data'!AU27</f>
        <v>9.3911010919940238E-2</v>
      </c>
      <c r="H6" s="52">
        <f>'Data - insamling av data'!AK27</f>
        <v>1.6762419331829623E-2</v>
      </c>
      <c r="I6" s="53">
        <f>'Data - insamling av data'!BB27</f>
        <v>4274.3037804873629</v>
      </c>
      <c r="J6" s="53">
        <f>'Data - insamling av data'!BH27</f>
        <v>1860.1201424346316</v>
      </c>
      <c r="K6" s="53">
        <f>'Data - insamling av data'!BN27</f>
        <v>113.22503278140674</v>
      </c>
      <c r="L6" s="52">
        <f>'Data - insamling av data'!BT27</f>
        <v>2.7842255116905284E-2</v>
      </c>
      <c r="M6" s="94">
        <f>'Data - insamling av data'!BY27</f>
        <v>8.5999999999999993E-2</v>
      </c>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row>
    <row r="7" spans="1:57" ht="13.5" x14ac:dyDescent="0.45">
      <c r="B7" s="50" t="s">
        <v>111</v>
      </c>
      <c r="C7" s="50"/>
      <c r="D7" s="64">
        <f>'Data - insamling av data'!AA30</f>
        <v>3.1E-2</v>
      </c>
      <c r="E7" s="52">
        <f>'Data - insamling av data'!AG30</f>
        <v>6.3745019920318807E-2</v>
      </c>
      <c r="F7" s="52">
        <f>'Data - insamling av data'!AO30</f>
        <v>0.12279117032687856</v>
      </c>
      <c r="G7" s="52">
        <f>'Data - insamling av data'!AU30</f>
        <v>8.6999999999999994E-2</v>
      </c>
      <c r="H7" s="52">
        <f>'Data - insamling av data'!AK30</f>
        <v>1.1393237211647299E-2</v>
      </c>
      <c r="I7" s="53">
        <f>'Data - insamling av data'!BB30</f>
        <v>3725.3421734991957</v>
      </c>
      <c r="J7" s="53">
        <f>'Data - insamling av data'!BH30</f>
        <v>1472.6809843984595</v>
      </c>
      <c r="K7" s="53">
        <f>'Data - insamling av data'!BN30</f>
        <v>102.17557894965678</v>
      </c>
      <c r="L7" s="52">
        <f>'Data - insamling av data'!BT30</f>
        <v>2.3559604773514691E-2</v>
      </c>
      <c r="M7" s="94">
        <f>'Data - insamling av data'!BY30</f>
        <v>4.7000000000000007E-2</v>
      </c>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row>
    <row r="8" spans="1:57" ht="13.5" x14ac:dyDescent="0.45">
      <c r="B8" s="50"/>
      <c r="C8" s="50"/>
      <c r="D8" s="61"/>
      <c r="E8" s="51"/>
      <c r="F8" s="50"/>
      <c r="G8" s="50"/>
      <c r="H8" s="50"/>
      <c r="I8" s="50"/>
      <c r="J8" s="50"/>
      <c r="K8" s="50"/>
      <c r="L8" s="50"/>
      <c r="M8" s="92"/>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c r="BB8" s="50"/>
      <c r="BC8" s="50"/>
      <c r="BD8" s="50"/>
      <c r="BE8" s="50"/>
    </row>
    <row r="9" spans="1:57" ht="13.5" x14ac:dyDescent="0.45">
      <c r="B9" s="54" t="s">
        <v>0</v>
      </c>
      <c r="C9" s="50"/>
      <c r="D9" s="54"/>
      <c r="E9" s="50"/>
      <c r="F9" s="50"/>
      <c r="G9" s="50"/>
      <c r="H9" s="50"/>
      <c r="I9" s="50"/>
      <c r="J9" s="50"/>
      <c r="K9" s="50"/>
      <c r="L9" s="50"/>
      <c r="M9" s="92"/>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50"/>
      <c r="BD9" s="50"/>
      <c r="BE9" s="50"/>
    </row>
    <row r="10" spans="1:57" ht="13.5" x14ac:dyDescent="0.45">
      <c r="B10" s="50" t="s">
        <v>1</v>
      </c>
      <c r="C10" s="50"/>
      <c r="D10" s="53">
        <f>INDEX('Data - insamling av data'!$AD$6:$AD$26,MATCH('Data - beräkning av pot vårdpla'!$B10,'Data - insamling av data'!$B$6:$B$26,0))</f>
        <v>3.1392666098901088</v>
      </c>
      <c r="E10" s="107" t="str">
        <f>INDEX('Data - insamling av data'!$AJ$6:$AJ$26,MATCH($B10,'Data - insamling av data'!$B$6:$B$26,0))</f>
        <v/>
      </c>
      <c r="F10" s="53">
        <f>INDEX('Data - insamling av data'!$AS$6:$AS$26,MATCH('Data - beräkning av pot vårdpla'!$B10,'Data - insamling av data'!$B$6:$B$26,0))</f>
        <v>3.4558852490046257</v>
      </c>
      <c r="G10" s="53">
        <f>INDEX('Data - insamling av data'!$AY$6:$AY$26,MATCH('Data - beräkning av pot vårdpla'!$B10,'Data - insamling av data'!$B$6:$B$26,0))</f>
        <v>0.30557161464181426</v>
      </c>
      <c r="H10" s="53">
        <f>INDEX('Data - insamling av data'!$AM$6:$AM$26,MATCH(B10,'Data - insamling av data'!$B$6:$B$27,0))</f>
        <v>2.2342836601552358</v>
      </c>
      <c r="I10" s="107">
        <f>INDEX('Data - insamling av data'!$BE$6:$BE$26,MATCH('Data - beräkning av pot vårdpla'!$B10,'Data - insamling av data'!$B$6:$B$26,0))</f>
        <v>3.9333712584761442</v>
      </c>
      <c r="J10" s="107">
        <f>INDEX('Data - insamling av data'!$BK$6:$BK$26,MATCH('Data - beräkning av pot vårdpla'!B10,'Data - insamling av data'!$B$6:$B$27,0))</f>
        <v>1.1521066220338065</v>
      </c>
      <c r="K10" s="107">
        <f>INDEX('Data - insamling av data'!$BQ$6:$BQ$26,MATCH('Data - beräkning av pot vårdpla'!B10,'Data - insamling av data'!$B$6:$B$27,0))</f>
        <v>0.22561333492963806</v>
      </c>
      <c r="L10" s="53" t="str">
        <f>INDEX('Data - insamling av data'!$BW$6:$BW$26,MATCH('Data - beräkning av pot vårdpla'!$B10,'Data - insamling av data'!$B$6:$B$26,0))</f>
        <v/>
      </c>
      <c r="M10" s="95">
        <f>INDEX('Data - insamling av data'!$CC$6:$CC$26,MATCH('Data - beräkning av pot vårdpla'!$B10,'Data - insamling av data'!$B$6:$B$26,0))</f>
        <v>18.366492602739729</v>
      </c>
      <c r="N10" s="53">
        <f>SUM(D10:I10)+SUM(K10:M10)</f>
        <v>31.660484329837296</v>
      </c>
      <c r="O10" s="53">
        <f>SUM(D10:E10)</f>
        <v>3.1392666098901088</v>
      </c>
      <c r="P10" s="53">
        <f>SUM(F10:I10,K10:M10)</f>
        <v>28.521217719947188</v>
      </c>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row>
    <row r="11" spans="1:57" ht="13.5" x14ac:dyDescent="0.45">
      <c r="B11" s="50" t="s">
        <v>2</v>
      </c>
      <c r="C11" s="50"/>
      <c r="D11" s="53">
        <f>INDEX('Data - insamling av data'!$AD$6:$AD$26,MATCH('Data - beräkning av pot vårdpla'!$B11,'Data - insamling av data'!$B$6:$B$26,0))</f>
        <v>28.462748464285713</v>
      </c>
      <c r="E11" s="107">
        <f>INDEX('Data - insamling av data'!$AJ$6:$AJ$26,MATCH($B11,'Data - insamling av data'!$B$6:$B$26,0))</f>
        <v>8.552121205668886</v>
      </c>
      <c r="F11" s="53">
        <f>INDEX('Data - insamling av data'!$AS$6:$AS$26,MATCH('Data - beräkning av pot vårdpla'!$B11,'Data - insamling av data'!$B$6:$B$26,0))</f>
        <v>5.4487522336323737</v>
      </c>
      <c r="G11" s="53">
        <f>INDEX('Data - insamling av data'!$AY$6:$AY$26,MATCH('Data - beräkning av pot vårdpla'!$B11,'Data - insamling av data'!$B$6:$B$26,0))</f>
        <v>2.2594798757734078</v>
      </c>
      <c r="H11" s="53">
        <f>INDEX('Data - insamling av data'!$AM$6:$AM$26,MATCH(B11,'Data - insamling av data'!$B$6:$B$27,0))</f>
        <v>6.0311317963911737</v>
      </c>
      <c r="I11" s="107">
        <f>INDEX('Data - insamling av data'!$BE$6:$BE$26,MATCH('Data - beräkning av pot vårdpla'!$B11,'Data - insamling av data'!$B$6:$B$26,0))</f>
        <v>3.3857199864668854</v>
      </c>
      <c r="J11" s="107">
        <f>INDEX('Data - insamling av data'!$BK$6:$BK$26,MATCH('Data - beräkning av pot vårdpla'!B11,'Data - insamling av data'!$B$6:$B$27,0))</f>
        <v>2.6489312826203881</v>
      </c>
      <c r="K11" s="107">
        <f>INDEX('Data - insamling av data'!$BQ$6:$BQ$26,MATCH('Data - beräkning av pot vårdpla'!B11,'Data - insamling av data'!$B$6:$B$27,0))</f>
        <v>0.46444911604110389</v>
      </c>
      <c r="L11" s="53">
        <f>INDEX('Data - insamling av data'!$BW$6:$BW$26,MATCH('Data - beräkning av pot vårdpla'!$B11,'Data - insamling av data'!$B$6:$B$26,0))</f>
        <v>8.7364753951832483</v>
      </c>
      <c r="M11" s="95" t="str">
        <f>INDEX('Data - insamling av data'!$CC$6:$CC$26,MATCH('Data - beräkning av pot vårdpla'!$B11,'Data - insamling av data'!$B$6:$B$26,0))</f>
        <v/>
      </c>
      <c r="N11" s="53">
        <f t="shared" ref="N11:N30" si="0">SUM(D11:I11)+SUM(K11:M11)</f>
        <v>63.340878073442795</v>
      </c>
      <c r="O11" s="53">
        <f t="shared" ref="O11:O31" si="1">SUM(D11:E11)</f>
        <v>37.014869669954599</v>
      </c>
      <c r="P11" s="53">
        <f t="shared" ref="P11:P30" si="2">SUM(F11:I11,K11:M11)</f>
        <v>26.326008403488192</v>
      </c>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row>
    <row r="12" spans="1:57" ht="13.5" x14ac:dyDescent="0.45">
      <c r="B12" s="50" t="s">
        <v>3</v>
      </c>
      <c r="C12" s="50"/>
      <c r="D12" s="53" t="str">
        <f>INDEX('Data - insamling av data'!$AD$6:$AD$26,MATCH('Data - beräkning av pot vårdpla'!$B12,'Data - insamling av data'!$B$6:$B$26,0))</f>
        <v/>
      </c>
      <c r="E12" s="107" t="str">
        <f>INDEX('Data - insamling av data'!$AJ$6:$AJ$26,MATCH($B12,'Data - insamling av data'!$B$6:$B$26,0))</f>
        <v/>
      </c>
      <c r="F12" s="53">
        <f>INDEX('Data - insamling av data'!$AS$6:$AS$26,MATCH('Data - beräkning av pot vårdpla'!$B12,'Data - insamling av data'!$B$6:$B$26,0))</f>
        <v>4.9195242802017694</v>
      </c>
      <c r="G12" s="53">
        <f>INDEX('Data - insamling av data'!$AY$6:$AY$26,MATCH('Data - beräkning av pot vårdpla'!$B12,'Data - insamling av data'!$B$6:$B$26,0))</f>
        <v>0.77901938356164435</v>
      </c>
      <c r="H12" s="53">
        <f>INDEX('Data - insamling av data'!$AM$6:$AM$26,MATCH(B12,'Data - insamling av data'!$B$6:$B$27,0))</f>
        <v>4.1148391049295725</v>
      </c>
      <c r="I12" s="107">
        <f>INDEX('Data - insamling av data'!$BE$6:$BE$26,MATCH('Data - beräkning av pot vårdpla'!$B12,'Data - insamling av data'!$B$6:$B$26,0))</f>
        <v>1.8892693889162497</v>
      </c>
      <c r="J12" s="107">
        <f>INDEX('Data - insamling av data'!$BK$6:$BK$26,MATCH('Data - beräkning av pot vårdpla'!B12,'Data - insamling av data'!$B$6:$B$27,0))</f>
        <v>1.8990169930713576</v>
      </c>
      <c r="K12" s="107">
        <f>INDEX('Data - insamling av data'!$BQ$6:$BQ$26,MATCH('Data - beräkning av pot vårdpla'!B12,'Data - insamling av data'!$B$6:$B$27,0))</f>
        <v>0.13728996921554931</v>
      </c>
      <c r="L12" s="53">
        <f>INDEX('Data - insamling av data'!$BW$6:$BW$26,MATCH('Data - beräkning av pot vårdpla'!$B12,'Data - insamling av data'!$B$6:$B$26,0))</f>
        <v>3.6100873483707252</v>
      </c>
      <c r="M12" s="95">
        <f>INDEX('Data - insamling av data'!$CC$6:$CC$26,MATCH('Data - beräkning av pot vårdpla'!$B12,'Data - insamling av data'!$B$6:$B$26,0))</f>
        <v>9.3781999999999996</v>
      </c>
      <c r="N12" s="53">
        <f t="shared" si="0"/>
        <v>24.828229475195506</v>
      </c>
      <c r="O12" s="53">
        <f t="shared" si="1"/>
        <v>0</v>
      </c>
      <c r="P12" s="53">
        <f t="shared" si="2"/>
        <v>24.82822947519551</v>
      </c>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50"/>
      <c r="BD12" s="50"/>
      <c r="BE12" s="50"/>
    </row>
    <row r="13" spans="1:57" ht="13.5" x14ac:dyDescent="0.45">
      <c r="B13" s="50" t="s">
        <v>4</v>
      </c>
      <c r="C13" s="50"/>
      <c r="D13" s="53">
        <f>INDEX('Data - insamling av data'!$AD$6:$AD$26,MATCH('Data - beräkning av pot vårdpla'!$B13,'Data - insamling av data'!$B$6:$B$26,0))</f>
        <v>20.570755472527473</v>
      </c>
      <c r="E13" s="107">
        <f>INDEX('Data - insamling av data'!$AJ$6:$AJ$26,MATCH($B13,'Data - insamling av data'!$B$6:$B$26,0))</f>
        <v>6.5308039415748773</v>
      </c>
      <c r="F13" s="53">
        <f>INDEX('Data - insamling av data'!$AS$6:$AS$26,MATCH('Data - beräkning av pot vårdpla'!$B13,'Data - insamling av data'!$B$6:$B$26,0))</f>
        <v>18.655853625827113</v>
      </c>
      <c r="G13" s="53">
        <f>INDEX('Data - insamling av data'!$AY$6:$AY$26,MATCH('Data - beräkning av pot vårdpla'!$B13,'Data - insamling av data'!$B$6:$B$26,0))</f>
        <v>2.7835171098576414</v>
      </c>
      <c r="H13" s="53">
        <f>INDEX('Data - insamling av data'!$AM$6:$AM$26,MATCH(B13,'Data - insamling av data'!$B$6:$B$27,0))</f>
        <v>1.7117169658921965</v>
      </c>
      <c r="I13" s="107">
        <f>INDEX('Data - insamling av data'!$BE$6:$BE$26,MATCH('Data - beräkning av pot vårdpla'!$B13,'Data - insamling av data'!$B$6:$B$26,0))</f>
        <v>4.9026376378657925</v>
      </c>
      <c r="J13" s="107">
        <f>INDEX('Data - insamling av data'!$BK$6:$BK$26,MATCH('Data - beräkning av pot vårdpla'!B13,'Data - insamling av data'!$B$6:$B$27,0))</f>
        <v>5.4199336310231336</v>
      </c>
      <c r="K13" s="107">
        <f>INDEX('Data - insamling av data'!$BQ$6:$BQ$26,MATCH('Data - beräkning av pot vårdpla'!B13,'Data - insamling av data'!$B$6:$B$27,0))</f>
        <v>0.85343901493439678</v>
      </c>
      <c r="L13" s="53" t="str">
        <f>INDEX('Data - insamling av data'!$BW$6:$BW$26,MATCH('Data - beräkning av pot vårdpla'!$B13,'Data - insamling av data'!$B$6:$B$26,0))</f>
        <v/>
      </c>
      <c r="M13" s="95">
        <f>INDEX('Data - insamling av data'!$CC$6:$CC$26,MATCH('Data - beräkning av pot vårdpla'!$B13,'Data - insamling av data'!$B$6:$B$26,0))</f>
        <v>0</v>
      </c>
      <c r="N13" s="53">
        <f t="shared" si="0"/>
        <v>56.008723768479484</v>
      </c>
      <c r="O13" s="53">
        <f t="shared" si="1"/>
        <v>27.101559414102351</v>
      </c>
      <c r="P13" s="53">
        <f t="shared" si="2"/>
        <v>28.907164354377141</v>
      </c>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row>
    <row r="14" spans="1:57" ht="13.5" x14ac:dyDescent="0.45">
      <c r="B14" s="50" t="s">
        <v>5</v>
      </c>
      <c r="C14" s="50"/>
      <c r="D14" s="53">
        <f>INDEX('Data - insamling av data'!$AD$6:$AD$26,MATCH('Data - beräkning av pot vårdpla'!$B14,'Data - insamling av data'!$B$6:$B$26,0))</f>
        <v>4.7581141442307722</v>
      </c>
      <c r="E14" s="107">
        <f>INDEX('Data - insamling av data'!$AJ$6:$AJ$26,MATCH($B14,'Data - insamling av data'!$B$6:$B$26,0))</f>
        <v>9.1036861556632829</v>
      </c>
      <c r="F14" s="53">
        <f>INDEX('Data - insamling av data'!$AS$6:$AS$26,MATCH('Data - beräkning av pot vårdpla'!$B14,'Data - insamling av data'!$B$6:$B$26,0))</f>
        <v>11.555400925652059</v>
      </c>
      <c r="G14" s="53">
        <f>INDEX('Data - insamling av data'!$AY$6:$AY$26,MATCH('Data - beräkning av pot vårdpla'!$B14,'Data - insamling av data'!$B$6:$B$26,0))</f>
        <v>2.2601939802307474</v>
      </c>
      <c r="H14" s="53">
        <f>INDEX('Data - insamling av data'!$AM$6:$AM$26,MATCH(B14,'Data - insamling av data'!$B$6:$B$27,0))</f>
        <v>1.3884259633232086</v>
      </c>
      <c r="I14" s="107">
        <f>INDEX('Data - insamling av data'!$BE$6:$BE$26,MATCH('Data - beräkning av pot vårdpla'!$B14,'Data - insamling av data'!$B$6:$B$26,0))</f>
        <v>2.2732968425295752</v>
      </c>
      <c r="J14" s="107">
        <f>INDEX('Data - insamling av data'!$BK$6:$BK$26,MATCH('Data - beräkning av pot vårdpla'!B14,'Data - insamling av data'!$B$6:$B$27,0))</f>
        <v>3.361169492184902</v>
      </c>
      <c r="K14" s="107" t="str">
        <f>INDEX('Data - insamling av data'!$BQ$6:$BQ$26,MATCH('Data - beräkning av pot vårdpla'!B14,'Data - insamling av data'!$B$6:$B$27,0))</f>
        <v/>
      </c>
      <c r="L14" s="53">
        <f>INDEX('Data - insamling av data'!$BW$6:$BW$26,MATCH('Data - beräkning av pot vårdpla'!$B14,'Data - insamling av data'!$B$6:$B$26,0))</f>
        <v>2.8640272410892957</v>
      </c>
      <c r="M14" s="95" t="str">
        <f>INDEX('Data - insamling av data'!$CC$6:$CC$26,MATCH('Data - beräkning av pot vårdpla'!$B14,'Data - insamling av data'!$B$6:$B$26,0))</f>
        <v/>
      </c>
      <c r="N14" s="53">
        <f t="shared" si="0"/>
        <v>34.20314525271894</v>
      </c>
      <c r="O14" s="53">
        <f t="shared" si="1"/>
        <v>13.861800299894055</v>
      </c>
      <c r="P14" s="53">
        <f t="shared" si="2"/>
        <v>20.341344952824887</v>
      </c>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row>
    <row r="15" spans="1:57" ht="13.5" x14ac:dyDescent="0.45">
      <c r="B15" s="50" t="s">
        <v>162</v>
      </c>
      <c r="C15" s="50"/>
      <c r="D15" s="53">
        <f>INDEX('Data - insamling av data'!$AD$6:$AD$26,MATCH('Data - beräkning av pot vårdpla'!$B15,'Data - insamling av data'!$B$6:$B$26,0))</f>
        <v>2.3688154945054949</v>
      </c>
      <c r="E15" s="107" t="str">
        <f>INDEX('Data - insamling av data'!$AJ$6:$AJ$26,MATCH($B15,'Data - insamling av data'!$B$6:$B$26,0))</f>
        <v/>
      </c>
      <c r="F15" s="53" t="str">
        <f>INDEX('Data - insamling av data'!$AS$6:$AS$26,MATCH('Data - beräkning av pot vårdpla'!$B15,'Data - insamling av data'!$B$6:$B$26,0))</f>
        <v/>
      </c>
      <c r="G15" s="53" t="str">
        <f>INDEX('Data - insamling av data'!$AY$6:$AY$26,MATCH('Data - beräkning av pot vårdpla'!$B15,'Data - insamling av data'!$B$6:$B$26,0))</f>
        <v/>
      </c>
      <c r="H15" s="53">
        <f>INDEX('Data - insamling av data'!$AM$6:$AM$26,MATCH(B15,'Data - insamling av data'!$B$6:$B$27,0))</f>
        <v>0.57775414996794927</v>
      </c>
      <c r="I15" s="107">
        <f>INDEX('Data - insamling av data'!$BE$6:$BE$26,MATCH('Data - beräkning av pot vårdpla'!$B15,'Data - insamling av data'!$B$6:$B$26,0))</f>
        <v>1.5191351102860053</v>
      </c>
      <c r="J15" s="107" t="str">
        <f>INDEX('Data - insamling av data'!$BK$6:$BK$26,MATCH('Data - beräkning av pot vårdpla'!B15,'Data - insamling av data'!$B$6:$B$27,0))</f>
        <v/>
      </c>
      <c r="K15" s="107">
        <f>INDEX('Data - insamling av data'!$BQ$6:$BQ$26,MATCH('Data - beräkning av pot vårdpla'!B15,'Data - insamling av data'!$B$6:$B$27,0))</f>
        <v>7.0008755797117836E-2</v>
      </c>
      <c r="L15" s="53">
        <f>INDEX('Data - insamling av data'!$BW$6:$BW$26,MATCH('Data - beräkning av pot vårdpla'!$B15,'Data - insamling av data'!$B$6:$B$26,0))</f>
        <v>3.4813827923981928</v>
      </c>
      <c r="M15" s="95">
        <f>INDEX('Data - insamling av data'!$CC$6:$CC$26,MATCH('Data - beräkning av pot vårdpla'!$B15,'Data - insamling av data'!$B$6:$B$26,0))</f>
        <v>0.18415479452054404</v>
      </c>
      <c r="N15" s="53">
        <f t="shared" si="0"/>
        <v>8.2012510974753035</v>
      </c>
      <c r="O15" s="53">
        <f t="shared" si="1"/>
        <v>2.3688154945054949</v>
      </c>
      <c r="P15" s="53">
        <f t="shared" si="2"/>
        <v>5.8324356029698086</v>
      </c>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row>
    <row r="16" spans="1:57" ht="13.5" x14ac:dyDescent="0.45">
      <c r="B16" s="50" t="s">
        <v>6</v>
      </c>
      <c r="C16" s="50"/>
      <c r="D16" s="53" t="str">
        <f>INDEX('Data - insamling av data'!$AD$6:$AD$26,MATCH('Data - beräkning av pot vårdpla'!$B16,'Data - insamling av data'!$B$6:$B$26,0))</f>
        <v/>
      </c>
      <c r="E16" s="107">
        <f>INDEX('Data - insamling av data'!$AJ$6:$AJ$26,MATCH($B16,'Data - insamling av data'!$B$6:$B$26,0))</f>
        <v>0.63156231320070266</v>
      </c>
      <c r="F16" s="53">
        <f>INDEX('Data - insamling av data'!$AS$6:$AS$26,MATCH('Data - beräkning av pot vårdpla'!$B16,'Data - insamling av data'!$B$6:$B$26,0))</f>
        <v>19.061256489295754</v>
      </c>
      <c r="G16" s="53">
        <f>INDEX('Data - insamling av data'!$AY$6:$AY$26,MATCH('Data - beräkning av pot vårdpla'!$B16,'Data - insamling av data'!$B$6:$B$26,0))</f>
        <v>5.9725457928838885</v>
      </c>
      <c r="H16" s="53" t="str">
        <f>INDEX('Data - insamling av data'!$AM$6:$AM$26,MATCH(B16,'Data - insamling av data'!$B$6:$B$27,0))</f>
        <v/>
      </c>
      <c r="I16" s="107">
        <f>INDEX('Data - insamling av data'!$BE$6:$BE$26,MATCH('Data - beräkning av pot vårdpla'!$B16,'Data - insamling av data'!$B$6:$B$26,0))</f>
        <v>10.326566252652977</v>
      </c>
      <c r="J16" s="107">
        <f>INDEX('Data - insamling av data'!$BK$6:$BK$26,MATCH('Data - beräkning av pot vårdpla'!B16,'Data - insamling av data'!$B$6:$B$27,0))</f>
        <v>3.1605652410838072</v>
      </c>
      <c r="K16" s="107">
        <f>INDEX('Data - insamling av data'!$BQ$6:$BQ$26,MATCH('Data - beräkning av pot vårdpla'!B16,'Data - insamling av data'!$B$6:$B$27,0))</f>
        <v>0.5928103594807661</v>
      </c>
      <c r="L16" s="53">
        <f>INDEX('Data - insamling av data'!$BW$6:$BW$26,MATCH('Data - beräkning av pot vårdpla'!$B16,'Data - insamling av data'!$B$6:$B$26,0))</f>
        <v>4.7541414285346075</v>
      </c>
      <c r="M16" s="95">
        <f>INDEX('Data - insamling av data'!$CC$6:$CC$26,MATCH('Data - beräkning av pot vårdpla'!$B16,'Data - insamling av data'!$B$6:$B$26,0))</f>
        <v>12.91171575342465</v>
      </c>
      <c r="N16" s="53">
        <f t="shared" si="0"/>
        <v>54.250598389473339</v>
      </c>
      <c r="O16" s="53">
        <f t="shared" si="1"/>
        <v>0.63156231320070266</v>
      </c>
      <c r="P16" s="53">
        <f t="shared" si="2"/>
        <v>53.619036076272643</v>
      </c>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row>
    <row r="17" spans="2:57" ht="13.5" x14ac:dyDescent="0.45">
      <c r="B17" s="50" t="s">
        <v>7</v>
      </c>
      <c r="C17" s="50"/>
      <c r="D17" s="53" t="str">
        <f>INDEX('Data - insamling av data'!$AD$6:$AD$26,MATCH('Data - beräkning av pot vårdpla'!$B17,'Data - insamling av data'!$B$6:$B$26,0))</f>
        <v/>
      </c>
      <c r="E17" s="107" t="str">
        <f>INDEX('Data - insamling av data'!$AJ$6:$AJ$26,MATCH($B17,'Data - insamling av data'!$B$6:$B$26,0))</f>
        <v/>
      </c>
      <c r="F17" s="53">
        <f>INDEX('Data - insamling av data'!$AS$6:$AS$26,MATCH('Data - beräkning av pot vårdpla'!$B17,'Data - insamling av data'!$B$6:$B$26,0))</f>
        <v>4.0561341806755502</v>
      </c>
      <c r="G17" s="53">
        <f>INDEX('Data - insamling av data'!$AY$6:$AY$26,MATCH('Data - beräkning av pot vårdpla'!$B17,'Data - insamling av data'!$B$6:$B$26,0))</f>
        <v>7.411302756364159E-2</v>
      </c>
      <c r="H17" s="53" t="str">
        <f>INDEX('Data - insamling av data'!$AM$6:$AM$26,MATCH(B17,'Data - insamling av data'!$B$6:$B$27,0))</f>
        <v/>
      </c>
      <c r="I17" s="107">
        <f>INDEX('Data - insamling av data'!$BE$6:$BE$26,MATCH('Data - beräkning av pot vårdpla'!$B17,'Data - insamling av data'!$B$6:$B$26,0))</f>
        <v>9.78610416154687</v>
      </c>
      <c r="J17" s="107">
        <f>INDEX('Data - insamling av data'!$BK$6:$BK$26,MATCH('Data - beräkning av pot vårdpla'!B17,'Data - insamling av data'!$B$6:$B$27,0))</f>
        <v>2.6525529240477623</v>
      </c>
      <c r="K17" s="107">
        <f>INDEX('Data - insamling av data'!$BQ$6:$BQ$26,MATCH('Data - beräkning av pot vårdpla'!B17,'Data - insamling av data'!$B$6:$B$27,0))</f>
        <v>0.94754304561043179</v>
      </c>
      <c r="L17" s="53">
        <f>INDEX('Data - insamling av data'!$BW$6:$BW$26,MATCH('Data - beräkning av pot vårdpla'!$B17,'Data - insamling av data'!$B$6:$B$26,0))</f>
        <v>1.5072602882108836</v>
      </c>
      <c r="M17" s="95" t="str">
        <f>INDEX('Data - insamling av data'!$CC$6:$CC$26,MATCH('Data - beräkning av pot vårdpla'!$B17,'Data - insamling av data'!$B$6:$B$26,0))</f>
        <v/>
      </c>
      <c r="N17" s="53">
        <f t="shared" si="0"/>
        <v>16.371154703607377</v>
      </c>
      <c r="O17" s="53">
        <f t="shared" si="1"/>
        <v>0</v>
      </c>
      <c r="P17" s="53">
        <f t="shared" si="2"/>
        <v>16.371154703607377</v>
      </c>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row>
    <row r="18" spans="2:57" ht="13.5" x14ac:dyDescent="0.45">
      <c r="B18" s="50" t="s">
        <v>8</v>
      </c>
      <c r="C18" s="50"/>
      <c r="D18" s="53">
        <f>INDEX('Data - insamling av data'!$AD$6:$AD$26,MATCH('Data - beräkning av pot vårdpla'!$B18,'Data - insamling av data'!$B$6:$B$26,0))</f>
        <v>0.22865448351648285</v>
      </c>
      <c r="E18" s="107">
        <f>INDEX('Data - insamling av data'!$AJ$6:$AJ$26,MATCH($B18,'Data - insamling av data'!$B$6:$B$26,0))</f>
        <v>7.888195788465258</v>
      </c>
      <c r="F18" s="53">
        <f>INDEX('Data - insamling av data'!$AS$6:$AS$26,MATCH('Data - beräkning av pot vårdpla'!$B18,'Data - insamling av data'!$B$6:$B$26,0))</f>
        <v>6.2428902917594611</v>
      </c>
      <c r="G18" s="53">
        <f>INDEX('Data - insamling av data'!$AY$6:$AY$26,MATCH('Data - beräkning av pot vårdpla'!$B18,'Data - insamling av data'!$B$6:$B$26,0))</f>
        <v>2.0729452341177037</v>
      </c>
      <c r="H18" s="53">
        <f>INDEX('Data - insamling av data'!$AM$6:$AM$26,MATCH(B18,'Data - insamling av data'!$B$6:$B$27,0))</f>
        <v>5.0452818496553125</v>
      </c>
      <c r="I18" s="107">
        <f>INDEX('Data - insamling av data'!$BE$6:$BE$26,MATCH('Data - beräkning av pot vårdpla'!$B18,'Data - insamling av data'!$B$6:$B$26,0))</f>
        <v>2.9655867475169817</v>
      </c>
      <c r="J18" s="107">
        <f>INDEX('Data - insamling av data'!$BK$6:$BK$26,MATCH('Data - beräkning av pot vårdpla'!B18,'Data - insamling av data'!$B$6:$B$27,0))</f>
        <v>2.7788650639953518</v>
      </c>
      <c r="K18" s="107">
        <f>INDEX('Data - insamling av data'!$BQ$6:$BQ$26,MATCH('Data - beräkning av pot vårdpla'!B18,'Data - insamling av data'!$B$6:$B$27,0))</f>
        <v>0.5818826148916274</v>
      </c>
      <c r="L18" s="53">
        <f>INDEX('Data - insamling av data'!$BW$6:$BW$26,MATCH('Data - beräkning av pot vårdpla'!$B18,'Data - insamling av data'!$B$6:$B$26,0))</f>
        <v>4.1489251893677528</v>
      </c>
      <c r="M18" s="95">
        <f>INDEX('Data - insamling av data'!$CC$6:$CC$26,MATCH('Data - beräkning av pot vårdpla'!$B18,'Data - insamling av data'!$B$6:$B$26,0))</f>
        <v>2.9559922374429233</v>
      </c>
      <c r="N18" s="53">
        <f t="shared" si="0"/>
        <v>32.130354436733505</v>
      </c>
      <c r="O18" s="53">
        <f t="shared" si="1"/>
        <v>8.1168502719817415</v>
      </c>
      <c r="P18" s="53">
        <f t="shared" si="2"/>
        <v>24.013504164751762</v>
      </c>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row>
    <row r="19" spans="2:57" ht="13.5" x14ac:dyDescent="0.45">
      <c r="B19" s="50" t="s">
        <v>9</v>
      </c>
      <c r="C19" s="50"/>
      <c r="D19" s="53">
        <f>INDEX('Data - insamling av data'!$AD$6:$AD$26,MATCH('Data - beräkning av pot vårdpla'!$B19,'Data - insamling av data'!$B$6:$B$26,0))</f>
        <v>9.0617794780219807</v>
      </c>
      <c r="E19" s="107">
        <f>INDEX('Data - insamling av data'!$AJ$6:$AJ$26,MATCH($B19,'Data - insamling av data'!$B$6:$B$26,0))</f>
        <v>13.407372467835529</v>
      </c>
      <c r="F19" s="53">
        <f>INDEX('Data - insamling av data'!$AS$6:$AS$26,MATCH('Data - beräkning av pot vårdpla'!$B19,'Data - insamling av data'!$B$6:$B$26,0))</f>
        <v>16.66040459590543</v>
      </c>
      <c r="G19" s="53">
        <f>INDEX('Data - insamling av data'!$AY$6:$AY$26,MATCH('Data - beräkning av pot vårdpla'!$B19,'Data - insamling av data'!$B$6:$B$26,0))</f>
        <v>4.4323079128733065</v>
      </c>
      <c r="H19" s="53">
        <f>INDEX('Data - insamling av data'!$AM$6:$AM$26,MATCH(B19,'Data - insamling av data'!$B$6:$B$27,0))</f>
        <v>0.22315307035775112</v>
      </c>
      <c r="I19" s="107">
        <f>INDEX('Data - insamling av data'!$BE$6:$BE$26,MATCH('Data - beräkning av pot vårdpla'!$B19,'Data - insamling av data'!$B$6:$B$26,0))</f>
        <v>0.55721643833016421</v>
      </c>
      <c r="J19" s="107">
        <f>INDEX('Data - insamling av data'!$BK$6:$BK$26,MATCH('Data - beräkning av pot vårdpla'!B19,'Data - insamling av data'!$B$6:$B$27,0))</f>
        <v>2.2125070196775285</v>
      </c>
      <c r="K19" s="107">
        <f>INDEX('Data - insamling av data'!$BQ$6:$BQ$26,MATCH('Data - beräkning av pot vårdpla'!B19,'Data - insamling av data'!$B$6:$B$27,0))</f>
        <v>2.1876994569819359E-2</v>
      </c>
      <c r="L19" s="53">
        <f>INDEX('Data - insamling av data'!$BW$6:$BW$26,MATCH('Data - beräkning av pot vårdpla'!$B19,'Data - insamling av data'!$B$6:$B$26,0))</f>
        <v>1.9895906573793192</v>
      </c>
      <c r="M19" s="95">
        <f>INDEX('Data - insamling av data'!$CC$6:$CC$26,MATCH('Data - beräkning av pot vårdpla'!$B19,'Data - insamling av data'!$B$6:$B$26,0))</f>
        <v>0.74324383561642804</v>
      </c>
      <c r="N19" s="53">
        <f t="shared" si="0"/>
        <v>47.096945450889727</v>
      </c>
      <c r="O19" s="53">
        <f t="shared" si="1"/>
        <v>22.469151945857512</v>
      </c>
      <c r="P19" s="53">
        <f t="shared" si="2"/>
        <v>24.627793505032219</v>
      </c>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c r="BA19" s="50"/>
      <c r="BB19" s="50"/>
      <c r="BC19" s="50"/>
      <c r="BD19" s="50"/>
      <c r="BE19" s="50"/>
    </row>
    <row r="20" spans="2:57" ht="13.5" x14ac:dyDescent="0.45">
      <c r="B20" s="50" t="s">
        <v>10</v>
      </c>
      <c r="C20" s="50"/>
      <c r="D20" s="53">
        <f>INDEX('Data - insamling av data'!$AD$6:$AD$26,MATCH('Data - beräkning av pot vårdpla'!$B20,'Data - insamling av data'!$B$6:$B$26,0))</f>
        <v>10.104520574175819</v>
      </c>
      <c r="E20" s="107">
        <f>INDEX('Data - insamling av data'!$AJ$6:$AJ$26,MATCH($B20,'Data - insamling av data'!$B$6:$B$26,0))</f>
        <v>85.864605526225702</v>
      </c>
      <c r="F20" s="53">
        <f>INDEX('Data - insamling av data'!$AS$6:$AS$26,MATCH('Data - beräkning av pot vårdpla'!$B20,'Data - insamling av data'!$B$6:$B$26,0))</f>
        <v>31.93286622896159</v>
      </c>
      <c r="G20" s="53">
        <f>INDEX('Data - insamling av data'!$AY$6:$AY$26,MATCH('Data - beräkning av pot vårdpla'!$B20,'Data - insamling av data'!$B$6:$B$26,0))</f>
        <v>6.449420293196801</v>
      </c>
      <c r="H20" s="53">
        <f>INDEX('Data - insamling av data'!$AM$6:$AM$26,MATCH(B20,'Data - insamling av data'!$B$6:$B$27,0))</f>
        <v>3.5531533703134208</v>
      </c>
      <c r="I20" s="107">
        <f>INDEX('Data - insamling av data'!$BE$6:$BE$26,MATCH('Data - beräkning av pot vårdpla'!$B20,'Data - insamling av data'!$B$6:$B$26,0))</f>
        <v>13.200264609147803</v>
      </c>
      <c r="J20" s="107">
        <f>INDEX('Data - insamling av data'!$BK$6:$BK$26,MATCH('Data - beräkning av pot vårdpla'!B20,'Data - insamling av data'!$B$6:$B$27,0))</f>
        <v>12.232318946869931</v>
      </c>
      <c r="K20" s="107">
        <f>INDEX('Data - insamling av data'!$BQ$6:$BQ$26,MATCH('Data - beräkning av pot vårdpla'!B20,'Data - insamling av data'!$B$6:$B$27,0))</f>
        <v>0.92017067201708824</v>
      </c>
      <c r="L20" s="53">
        <f>INDEX('Data - insamling av data'!$BW$6:$BW$26,MATCH('Data - beräkning av pot vårdpla'!$B20,'Data - insamling av data'!$B$6:$B$26,0))</f>
        <v>6.783825519703985</v>
      </c>
      <c r="M20" s="95">
        <f>INDEX('Data - insamling av data'!$CC$6:$CC$26,MATCH('Data - beräkning av pot vårdpla'!$B20,'Data - insamling av data'!$B$6:$B$26,0))</f>
        <v>11.441780821917776</v>
      </c>
      <c r="N20" s="53">
        <f t="shared" si="0"/>
        <v>170.25060761565999</v>
      </c>
      <c r="O20" s="53">
        <f t="shared" si="1"/>
        <v>95.969126100401525</v>
      </c>
      <c r="P20" s="53">
        <f t="shared" si="2"/>
        <v>74.281481515258449</v>
      </c>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row>
    <row r="21" spans="2:57" ht="13.5" x14ac:dyDescent="0.45">
      <c r="B21" s="50" t="s">
        <v>11</v>
      </c>
      <c r="C21" s="50"/>
      <c r="D21" s="53">
        <f>INDEX('Data - insamling av data'!$AD$6:$AD$26,MATCH('Data - beräkning av pot vårdpla'!$B21,'Data - insamling av data'!$B$6:$B$26,0))</f>
        <v>17.561844395604396</v>
      </c>
      <c r="E21" s="107">
        <f>INDEX('Data - insamling av data'!$AJ$6:$AJ$26,MATCH($B21,'Data - insamling av data'!$B$6:$B$26,0))</f>
        <v>219.5572295835068</v>
      </c>
      <c r="F21" s="53" t="str">
        <f>INDEX('Data - insamling av data'!$AS$6:$AS$26,MATCH('Data - beräkning av pot vårdpla'!$B21,'Data - insamling av data'!$B$6:$B$26,0))</f>
        <v/>
      </c>
      <c r="G21" s="53">
        <f>INDEX('Data - insamling av data'!$AY$6:$AY$26,MATCH('Data - beräkning av pot vårdpla'!$B21,'Data - insamling av data'!$B$6:$B$26,0))</f>
        <v>2.8465190930971982</v>
      </c>
      <c r="H21" s="53">
        <f>INDEX('Data - insamling av data'!$AM$6:$AM$26,MATCH(B21,'Data - insamling av data'!$B$6:$B$27,0))</f>
        <v>0.55481416324318644</v>
      </c>
      <c r="I21" s="107">
        <f>INDEX('Data - insamling av data'!$BE$6:$BE$26,MATCH('Data - beräkning av pot vårdpla'!$B21,'Data - insamling av data'!$B$6:$B$26,0))</f>
        <v>79.282787905351924</v>
      </c>
      <c r="J21" s="107">
        <f>INDEX('Data - insamling av data'!$BK$6:$BK$26,MATCH('Data - beräkning av pot vårdpla'!B21,'Data - insamling av data'!$B$6:$B$27,0))</f>
        <v>56.490197419505897</v>
      </c>
      <c r="K21" s="107">
        <f>INDEX('Data - insamling av data'!$BQ$6:$BQ$26,MATCH('Data - beräkning av pot vårdpla'!B21,'Data - insamling av data'!$B$6:$B$27,0))</f>
        <v>1.2742198372000451</v>
      </c>
      <c r="L21" s="53">
        <f>INDEX('Data - insamling av data'!$BW$6:$BW$26,MATCH('Data - beräkning av pot vårdpla'!$B21,'Data - insamling av data'!$B$6:$B$26,0))</f>
        <v>125.1216672455828</v>
      </c>
      <c r="M21" s="95">
        <f>INDEX('Data - insamling av data'!$CC$6:$CC$26,MATCH('Data - beräkning av pot vårdpla'!$B21,'Data - insamling av data'!$B$6:$B$26,0))</f>
        <v>195.09183105022825</v>
      </c>
      <c r="N21" s="53">
        <f t="shared" si="0"/>
        <v>641.29091327381457</v>
      </c>
      <c r="O21" s="53">
        <f t="shared" si="1"/>
        <v>237.11907397911119</v>
      </c>
      <c r="P21" s="53">
        <f t="shared" si="2"/>
        <v>404.17183929470343</v>
      </c>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row>
    <row r="22" spans="2:57" ht="13.5" x14ac:dyDescent="0.45">
      <c r="B22" s="50" t="s">
        <v>161</v>
      </c>
      <c r="C22" s="50"/>
      <c r="D22" s="53">
        <f>INDEX('Data - insamling av data'!$AD$6:$AD$26,MATCH('Data - beräkning av pot vårdpla'!$B22,'Data - insamling av data'!$B$6:$B$26,0))</f>
        <v>35.760164728021984</v>
      </c>
      <c r="E22" s="107">
        <f>INDEX('Data - insamling av data'!$AJ$6:$AJ$26,MATCH($B22,'Data - insamling av data'!$B$6:$B$26,0))</f>
        <v>5.666938862073847</v>
      </c>
      <c r="F22" s="53">
        <f>INDEX('Data - insamling av data'!$AS$6:$AS$26,MATCH('Data - beräkning av pot vårdpla'!$B22,'Data - insamling av data'!$B$6:$B$26,0))</f>
        <v>18.807134075304614</v>
      </c>
      <c r="G22" s="53">
        <f>INDEX('Data - insamling av data'!$AY$6:$AY$26,MATCH('Data - beräkning av pot vårdpla'!$B22,'Data - insamling av data'!$B$6:$B$26,0))</f>
        <v>4.011657017240327</v>
      </c>
      <c r="H22" s="53">
        <f>INDEX('Data - insamling av data'!$AM$6:$AM$26,MATCH(B22,'Data - insamling av data'!$B$6:$B$27,0))</f>
        <v>2.3875165491908001</v>
      </c>
      <c r="I22" s="107">
        <f>INDEX('Data - insamling av data'!$BE$6:$BE$26,MATCH('Data - beräkning av pot vårdpla'!$B22,'Data - insamling av data'!$B$6:$B$26,0))</f>
        <v>2.8250371519635769</v>
      </c>
      <c r="J22" s="107">
        <f>INDEX('Data - insamling av data'!$BK$6:$BK$26,MATCH('Data - beräkning av pot vårdpla'!B22,'Data - insamling av data'!$B$6:$B$27,0))</f>
        <v>2.3289888670389285</v>
      </c>
      <c r="K22" s="107">
        <f>INDEX('Data - insamling av data'!$BQ$6:$BQ$26,MATCH('Data - beräkning av pot vårdpla'!B22,'Data - insamling av data'!$B$6:$B$27,0))</f>
        <v>0.43703206486330254</v>
      </c>
      <c r="L22" s="53">
        <f>INDEX('Data - insamling av data'!$BW$6:$BW$26,MATCH('Data - beräkning av pot vårdpla'!$B22,'Data - insamling av data'!$B$6:$B$26,0))</f>
        <v>7.6226607802216426</v>
      </c>
      <c r="M22" s="95">
        <f>INDEX('Data - insamling av data'!$CC$6:$CC$26,MATCH('Data - beräkning av pot vårdpla'!$B22,'Data - insamling av data'!$B$6:$B$26,0))</f>
        <v>3.1226415525114124</v>
      </c>
      <c r="N22" s="53">
        <f t="shared" si="0"/>
        <v>80.640782781391493</v>
      </c>
      <c r="O22" s="53">
        <f t="shared" si="1"/>
        <v>41.427103590095832</v>
      </c>
      <c r="P22" s="53">
        <f t="shared" si="2"/>
        <v>39.213679191295675</v>
      </c>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0"/>
      <c r="AX22" s="50"/>
      <c r="AY22" s="50"/>
      <c r="AZ22" s="50"/>
      <c r="BA22" s="50"/>
      <c r="BB22" s="50"/>
      <c r="BC22" s="50"/>
      <c r="BD22" s="50"/>
      <c r="BE22" s="50"/>
    </row>
    <row r="23" spans="2:57" ht="13.5" x14ac:dyDescent="0.45">
      <c r="B23" s="50" t="s">
        <v>12</v>
      </c>
      <c r="C23" s="50"/>
      <c r="D23" s="53">
        <f>INDEX('Data - insamling av data'!$AD$6:$AD$26,MATCH('Data - beräkning av pot vårdpla'!$B23,'Data - insamling av data'!$B$6:$B$26,0))</f>
        <v>21.892529758241761</v>
      </c>
      <c r="E23" s="107">
        <f>INDEX('Data - insamling av data'!$AJ$6:$AJ$26,MATCH($B23,'Data - insamling av data'!$B$6:$B$26,0))</f>
        <v>40.316929800298659</v>
      </c>
      <c r="F23" s="53" t="str">
        <f>INDEX('Data - insamling av data'!$AS$6:$AS$26,MATCH('Data - beräkning av pot vårdpla'!$B23,'Data - insamling av data'!$B$6:$B$26,0))</f>
        <v/>
      </c>
      <c r="G23" s="53">
        <f>INDEX('Data - insamling av data'!$AY$6:$AY$26,MATCH('Data - beräkning av pot vårdpla'!$B23,'Data - insamling av data'!$B$6:$B$26,0))</f>
        <v>1.0205372313686067</v>
      </c>
      <c r="H23" s="53" t="str">
        <f>INDEX('Data - insamling av data'!$AM$6:$AM$26,MATCH(B23,'Data - insamling av data'!$B$6:$B$27,0))</f>
        <v/>
      </c>
      <c r="I23" s="107" t="str">
        <f>INDEX('Data - insamling av data'!$BE$6:$BE$26,MATCH('Data - beräkning av pot vårdpla'!$B23,'Data - insamling av data'!$B$6:$B$26,0))</f>
        <v/>
      </c>
      <c r="J23" s="107" t="str">
        <f>INDEX('Data - insamling av data'!$BK$6:$BK$26,MATCH('Data - beräkning av pot vårdpla'!B23,'Data - insamling av data'!$B$6:$B$27,0))</f>
        <v/>
      </c>
      <c r="K23" s="107" t="str">
        <f>INDEX('Data - insamling av data'!$BQ$6:$BQ$26,MATCH('Data - beräkning av pot vårdpla'!B23,'Data - insamling av data'!$B$6:$B$27,0))</f>
        <v/>
      </c>
      <c r="L23" s="53" t="str">
        <f>INDEX('Data - insamling av data'!$BW$6:$BW$26,MATCH('Data - beräkning av pot vårdpla'!$B23,'Data - insamling av data'!$B$6:$B$26,0))</f>
        <v/>
      </c>
      <c r="M23" s="95">
        <f>INDEX('Data - insamling av data'!$CC$6:$CC$26,MATCH('Data - beräkning av pot vårdpla'!$B23,'Data - insamling av data'!$B$6:$B$26,0))</f>
        <v>51.620969863013684</v>
      </c>
      <c r="N23" s="53">
        <f t="shared" si="0"/>
        <v>114.85096665292271</v>
      </c>
      <c r="O23" s="53">
        <f t="shared" si="1"/>
        <v>62.209459558540416</v>
      </c>
      <c r="P23" s="53">
        <f t="shared" si="2"/>
        <v>52.641507094382291</v>
      </c>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0"/>
      <c r="AY23" s="50"/>
      <c r="AZ23" s="50"/>
      <c r="BA23" s="50"/>
      <c r="BB23" s="50"/>
      <c r="BC23" s="50"/>
      <c r="BD23" s="50"/>
      <c r="BE23" s="50"/>
    </row>
    <row r="24" spans="2:57" ht="13.5" x14ac:dyDescent="0.45">
      <c r="B24" s="50" t="s">
        <v>13</v>
      </c>
      <c r="C24" s="50"/>
      <c r="D24" s="53">
        <f>INDEX('Data - insamling av data'!$AD$6:$AD$26,MATCH('Data - beräkning av pot vårdpla'!$B24,'Data - insamling av data'!$B$6:$B$26,0))</f>
        <v>20.918065846153848</v>
      </c>
      <c r="E24" s="107">
        <f>INDEX('Data - insamling av data'!$AJ$6:$AJ$26,MATCH($B24,'Data - insamling av data'!$B$6:$B$26,0))</f>
        <v>15.897037088967531</v>
      </c>
      <c r="F24" s="53">
        <f>INDEX('Data - insamling av data'!$AS$6:$AS$26,MATCH('Data - beräkning av pot vårdpla'!$B24,'Data - insamling av data'!$B$6:$B$26,0))</f>
        <v>11.919278790587812</v>
      </c>
      <c r="G24" s="53">
        <f>INDEX('Data - insamling av data'!$AY$6:$AY$26,MATCH('Data - beräkning av pot vårdpla'!$B24,'Data - insamling av data'!$B$6:$B$26,0))</f>
        <v>4.7353889250814341</v>
      </c>
      <c r="H24" s="53">
        <f>INDEX('Data - insamling av data'!$AM$6:$AM$26,MATCH(B24,'Data - insamling av data'!$B$6:$B$27,0))</f>
        <v>9.257718079452232</v>
      </c>
      <c r="I24" s="107">
        <f>INDEX('Data - insamling av data'!$BE$6:$BE$26,MATCH('Data - beräkning av pot vårdpla'!$B24,'Data - insamling av data'!$B$6:$B$26,0))</f>
        <v>6.3012097981051305</v>
      </c>
      <c r="J24" s="107">
        <f>INDEX('Data - insamling av data'!$BK$6:$BK$26,MATCH('Data - beräkning av pot vårdpla'!B24,'Data - insamling av data'!$B$6:$B$27,0))</f>
        <v>4.5149437361628575</v>
      </c>
      <c r="K24" s="107">
        <f>INDEX('Data - insamling av data'!$BQ$6:$BQ$26,MATCH('Data - beräkning av pot vårdpla'!B24,'Data - insamling av data'!$B$6:$B$27,0))</f>
        <v>0.22813636891895048</v>
      </c>
      <c r="L24" s="53">
        <f>INDEX('Data - insamling av data'!$BW$6:$BW$26,MATCH('Data - beräkning av pot vårdpla'!$B24,'Data - insamling av data'!$B$6:$B$26,0))</f>
        <v>10.276926703718132</v>
      </c>
      <c r="M24" s="95">
        <f>INDEX('Data - insamling av data'!$CC$6:$CC$26,MATCH('Data - beräkning av pot vårdpla'!$B24,'Data - insamling av data'!$B$6:$B$26,0))</f>
        <v>38.829177625570757</v>
      </c>
      <c r="N24" s="53">
        <f t="shared" si="0"/>
        <v>118.36293922655582</v>
      </c>
      <c r="O24" s="53">
        <f t="shared" si="1"/>
        <v>36.815102935121381</v>
      </c>
      <c r="P24" s="53">
        <f t="shared" si="2"/>
        <v>81.547836291434464</v>
      </c>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50"/>
      <c r="BA24" s="50"/>
      <c r="BB24" s="50"/>
      <c r="BC24" s="50"/>
      <c r="BD24" s="50"/>
      <c r="BE24" s="50"/>
    </row>
    <row r="25" spans="2:57" ht="13.5" x14ac:dyDescent="0.45">
      <c r="B25" s="50" t="s">
        <v>14</v>
      </c>
      <c r="C25" s="50"/>
      <c r="D25" s="53">
        <f>INDEX('Data - insamling av data'!$AD$6:$AD$26,MATCH('Data - beräkning av pot vårdpla'!$B25,'Data - insamling av data'!$B$6:$B$26,0))</f>
        <v>9.8781423626373641</v>
      </c>
      <c r="E25" s="107" t="str">
        <f>INDEX('Data - insamling av data'!$AJ$6:$AJ$26,MATCH($B25,'Data - insamling av data'!$B$6:$B$26,0))</f>
        <v/>
      </c>
      <c r="F25" s="53">
        <f>INDEX('Data - insamling av data'!$AS$6:$AS$26,MATCH('Data - beräkning av pot vårdpla'!$B25,'Data - insamling av data'!$B$6:$B$26,0))</f>
        <v>10.075008890532356</v>
      </c>
      <c r="G25" s="53">
        <f>INDEX('Data - insamling av data'!$AY$6:$AY$26,MATCH('Data - beräkning av pot vårdpla'!$B25,'Data - insamling av data'!$B$6:$B$26,0))</f>
        <v>3.544488486357976</v>
      </c>
      <c r="H25" s="53">
        <f>INDEX('Data - insamling av data'!$AM$6:$AM$26,MATCH(B25,'Data - insamling av data'!$B$6:$B$27,0))</f>
        <v>7.9040338349995993</v>
      </c>
      <c r="I25" s="107" t="str">
        <f>INDEX('Data - insamling av data'!$BE$6:$BE$26,MATCH('Data - beräkning av pot vårdpla'!$B25,'Data - insamling av data'!$B$6:$B$26,0))</f>
        <v/>
      </c>
      <c r="J25" s="107" t="str">
        <f>INDEX('Data - insamling av data'!$BK$6:$BK$26,MATCH('Data - beräkning av pot vårdpla'!B25,'Data - insamling av data'!$B$6:$B$27,0))</f>
        <v/>
      </c>
      <c r="K25" s="107" t="str">
        <f>INDEX('Data - insamling av data'!$BQ$6:$BQ$26,MATCH('Data - beräkning av pot vårdpla'!B25,'Data - insamling av data'!$B$6:$B$27,0))</f>
        <v/>
      </c>
      <c r="L25" s="53">
        <f>INDEX('Data - insamling av data'!$BW$6:$BW$26,MATCH('Data - beräkning av pot vårdpla'!$B25,'Data - insamling av data'!$B$6:$B$26,0))</f>
        <v>10.779814150162476</v>
      </c>
      <c r="M25" s="95">
        <f>INDEX('Data - insamling av data'!$CC$6:$CC$26,MATCH('Data - beräkning av pot vårdpla'!$B25,'Data - insamling av data'!$B$6:$B$26,0))</f>
        <v>5.404840821917805</v>
      </c>
      <c r="N25" s="53">
        <f t="shared" si="0"/>
        <v>47.586328546607575</v>
      </c>
      <c r="O25" s="53">
        <f t="shared" si="1"/>
        <v>9.8781423626373641</v>
      </c>
      <c r="P25" s="53">
        <f t="shared" si="2"/>
        <v>37.708186183970213</v>
      </c>
      <c r="Q25" s="50"/>
      <c r="R25" s="50"/>
      <c r="S25" s="50"/>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0"/>
      <c r="AW25" s="50"/>
      <c r="AX25" s="50"/>
      <c r="AY25" s="50"/>
      <c r="AZ25" s="50"/>
      <c r="BA25" s="50"/>
      <c r="BB25" s="50"/>
      <c r="BC25" s="50"/>
      <c r="BD25" s="50"/>
      <c r="BE25" s="50"/>
    </row>
    <row r="26" spans="2:57" ht="13.5" x14ac:dyDescent="0.45">
      <c r="B26" s="50" t="s">
        <v>15</v>
      </c>
      <c r="C26" s="50"/>
      <c r="D26" s="53">
        <f>INDEX('Data - insamling av data'!$AD$6:$AD$26,MATCH('Data - beräkning av pot vårdpla'!$B26,'Data - insamling av data'!$B$6:$B$26,0))</f>
        <v>28.545830196428572</v>
      </c>
      <c r="E26" s="107">
        <f>INDEX('Data - insamling av data'!$AJ$6:$AJ$26,MATCH($B26,'Data - insamling av data'!$B$6:$B$26,0))</f>
        <v>18.577196128760214</v>
      </c>
      <c r="F26" s="53">
        <f>INDEX('Data - insamling av data'!$AS$6:$AS$26,MATCH('Data - beräkning av pot vårdpla'!$B26,'Data - insamling av data'!$B$6:$B$26,0))</f>
        <v>22.441456346697191</v>
      </c>
      <c r="G26" s="53">
        <f>INDEX('Data - insamling av data'!$AY$6:$AY$26,MATCH('Data - beräkning av pot vårdpla'!$B26,'Data - insamling av data'!$B$6:$B$26,0))</f>
        <v>6.2710196834685483</v>
      </c>
      <c r="H26" s="53">
        <f>INDEX('Data - insamling av data'!$AM$6:$AM$26,MATCH(B26,'Data - insamling av data'!$B$6:$B$27,0))</f>
        <v>3.6877960496447622</v>
      </c>
      <c r="I26" s="107">
        <f>INDEX('Data - insamling av data'!$BE$6:$BE$26,MATCH('Data - beräkning av pot vårdpla'!$B26,'Data - insamling av data'!$B$6:$B$26,0))</f>
        <v>6.1210133614194593</v>
      </c>
      <c r="J26" s="107">
        <f>INDEX('Data - insamling av data'!$BK$6:$BK$26,MATCH('Data - beräkning av pot vårdpla'!B26,'Data - insamling av data'!$B$6:$B$27,0))</f>
        <v>2.3613195388500903</v>
      </c>
      <c r="K26" s="107">
        <f>INDEX('Data - insamling av data'!$BQ$6:$BQ$26,MATCH('Data - beräkning av pot vårdpla'!B26,'Data - insamling av data'!$B$6:$B$27,0))</f>
        <v>0.23282141722766989</v>
      </c>
      <c r="L26" s="53">
        <f>INDEX('Data - insamling av data'!$BW$6:$BW$26,MATCH('Data - beräkning av pot vårdpla'!$B26,'Data - insamling av data'!$B$6:$B$26,0))</f>
        <v>6.6202913741107565</v>
      </c>
      <c r="M26" s="95">
        <f>INDEX('Data - insamling av data'!$CC$6:$CC$26,MATCH('Data - beräkning av pot vårdpla'!$B26,'Data - insamling av data'!$B$6:$B$26,0))</f>
        <v>27.658212328767117</v>
      </c>
      <c r="N26" s="53">
        <f t="shared" si="0"/>
        <v>120.15563688652429</v>
      </c>
      <c r="O26" s="53">
        <f t="shared" si="1"/>
        <v>47.123026325188789</v>
      </c>
      <c r="P26" s="53">
        <f t="shared" si="2"/>
        <v>73.032610561335503</v>
      </c>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0"/>
      <c r="AS26" s="50"/>
      <c r="AT26" s="50"/>
      <c r="AU26" s="50"/>
      <c r="AV26" s="50"/>
      <c r="AW26" s="50"/>
      <c r="AX26" s="50"/>
      <c r="AY26" s="50"/>
      <c r="AZ26" s="50"/>
      <c r="BA26" s="50"/>
      <c r="BB26" s="50"/>
      <c r="BC26" s="50"/>
      <c r="BD26" s="50"/>
      <c r="BE26" s="50"/>
    </row>
    <row r="27" spans="2:57" ht="13.5" x14ac:dyDescent="0.45">
      <c r="B27" s="50" t="s">
        <v>16</v>
      </c>
      <c r="C27" s="50"/>
      <c r="D27" s="53">
        <f>INDEX('Data - insamling av data'!$AD$6:$AD$26,MATCH('Data - beräkning av pot vårdpla'!$B27,'Data - insamling av data'!$B$6:$B$26,0))</f>
        <v>8.6949814065934046</v>
      </c>
      <c r="E27" s="107">
        <f>INDEX('Data - insamling av data'!$AJ$6:$AJ$26,MATCH($B27,'Data - insamling av data'!$B$6:$B$26,0))</f>
        <v>1.6623961302285435</v>
      </c>
      <c r="F27" s="53">
        <f>INDEX('Data - insamling av data'!$AS$6:$AS$26,MATCH('Data - beräkning av pot vårdpla'!$B27,'Data - insamling av data'!$B$6:$B$26,0))</f>
        <v>9.7515008100443001</v>
      </c>
      <c r="G27" s="53">
        <f>INDEX('Data - insamling av data'!$AY$6:$AY$26,MATCH('Data - beräkning av pot vårdpla'!$B27,'Data - insamling av data'!$B$6:$B$26,0))</f>
        <v>3.743718692423287</v>
      </c>
      <c r="H27" s="53" t="str">
        <f>INDEX('Data - insamling av data'!$AM$6:$AM$26,MATCH(B27,'Data - insamling av data'!$B$6:$B$27,0))</f>
        <v/>
      </c>
      <c r="I27" s="107">
        <f>INDEX('Data - insamling av data'!$BE$6:$BE$26,MATCH('Data - beräkning av pot vårdpla'!$B27,'Data - insamling av data'!$B$6:$B$26,0))</f>
        <v>8.5457153254270963</v>
      </c>
      <c r="J27" s="107">
        <f>INDEX('Data - insamling av data'!$BK$6:$BK$26,MATCH('Data - beräkning av pot vårdpla'!B27,'Data - insamling av data'!$B$6:$B$27,0))</f>
        <v>8.165928142740853</v>
      </c>
      <c r="K27" s="107">
        <f>INDEX('Data - insamling av data'!$BQ$6:$BQ$26,MATCH('Data - beräkning av pot vårdpla'!B27,'Data - insamling av data'!$B$6:$B$27,0))</f>
        <v>1.009960332140615</v>
      </c>
      <c r="L27" s="53">
        <f>INDEX('Data - insamling av data'!$BW$6:$BW$26,MATCH('Data - beräkning av pot vårdpla'!$B27,'Data - insamling av data'!$B$6:$B$26,0))</f>
        <v>8.9800914865892754</v>
      </c>
      <c r="M27" s="95">
        <f>INDEX('Data - insamling av data'!$CC$6:$CC$26,MATCH('Data - beräkning av pot vårdpla'!$B27,'Data - insamling av data'!$B$6:$B$26,0))</f>
        <v>27.607013698630137</v>
      </c>
      <c r="N27" s="53">
        <f t="shared" si="0"/>
        <v>69.995377882076667</v>
      </c>
      <c r="O27" s="53">
        <f t="shared" si="1"/>
        <v>10.357377536821948</v>
      </c>
      <c r="P27" s="53">
        <f t="shared" si="2"/>
        <v>59.63800034525471</v>
      </c>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row>
    <row r="28" spans="2:57" ht="13.5" x14ac:dyDescent="0.45">
      <c r="B28" s="50" t="s">
        <v>17</v>
      </c>
      <c r="C28" s="50"/>
      <c r="D28" s="53">
        <f>INDEX('Data - insamling av data'!$AD$6:$AD$26,MATCH('Data - beräkning av pot vårdpla'!$B28,'Data - insamling av data'!$B$6:$B$26,0))</f>
        <v>22.721839076923072</v>
      </c>
      <c r="E28" s="107">
        <f>INDEX('Data - insamling av data'!$AJ$6:$AJ$26,MATCH($B28,'Data - insamling av data'!$B$6:$B$26,0))</f>
        <v>18.11912104951503</v>
      </c>
      <c r="F28" s="53" t="str">
        <f>INDEX('Data - insamling av data'!$AS$6:$AS$26,MATCH('Data - beräkning av pot vårdpla'!$B28,'Data - insamling av data'!$B$6:$B$26,0))</f>
        <v/>
      </c>
      <c r="G28" s="53" t="str">
        <f>INDEX('Data - insamling av data'!$AY$6:$AY$26,MATCH('Data - beräkning av pot vårdpla'!$B28,'Data - insamling av data'!$B$6:$B$26,0))</f>
        <v/>
      </c>
      <c r="H28" s="53">
        <f>INDEX('Data - insamling av data'!$AM$6:$AM$26,MATCH(B28,'Data - insamling av data'!$B$6:$B$27,0))</f>
        <v>2.8905692515374763</v>
      </c>
      <c r="I28" s="107" t="str">
        <f>INDEX('Data - insamling av data'!$BE$6:$BE$26,MATCH('Data - beräkning av pot vårdpla'!$B28,'Data - insamling av data'!$B$6:$B$26,0))</f>
        <v/>
      </c>
      <c r="J28" s="107" t="str">
        <f>INDEX('Data - insamling av data'!$BK$6:$BK$26,MATCH('Data - beräkning av pot vårdpla'!B28,'Data - insamling av data'!$B$6:$B$27,0))</f>
        <v/>
      </c>
      <c r="K28" s="107" t="str">
        <f>INDEX('Data - insamling av data'!$BQ$6:$BQ$26,MATCH('Data - beräkning av pot vårdpla'!B28,'Data - insamling av data'!$B$6:$B$27,0))</f>
        <v/>
      </c>
      <c r="L28" s="53">
        <f>INDEX('Data - insamling av data'!$BW$6:$BW$26,MATCH('Data - beräkning av pot vårdpla'!$B28,'Data - insamling av data'!$B$6:$B$26,0))</f>
        <v>1.3640580510694154</v>
      </c>
      <c r="M28" s="95">
        <f>INDEX('Data - insamling av data'!$CC$6:$CC$26,MATCH('Data - beräkning av pot vårdpla'!$B28,'Data - insamling av data'!$B$6:$B$26,0))</f>
        <v>8.3779835616438341</v>
      </c>
      <c r="N28" s="53">
        <f t="shared" si="0"/>
        <v>53.473570990688835</v>
      </c>
      <c r="O28" s="53">
        <f t="shared" si="1"/>
        <v>40.840960126438105</v>
      </c>
      <c r="P28" s="53">
        <f t="shared" si="2"/>
        <v>12.632610864250726</v>
      </c>
      <c r="Q28" s="50"/>
      <c r="R28" s="50"/>
      <c r="S28" s="50"/>
      <c r="T28" s="50"/>
      <c r="U28" s="50"/>
      <c r="V28" s="50"/>
      <c r="W28" s="50"/>
      <c r="X28" s="50"/>
      <c r="Y28" s="50"/>
      <c r="Z28" s="50"/>
      <c r="AA28" s="50"/>
      <c r="AB28" s="50"/>
      <c r="AC28" s="50"/>
      <c r="AD28" s="50"/>
      <c r="AE28" s="50"/>
      <c r="AF28" s="50"/>
      <c r="AG28" s="50"/>
      <c r="AH28" s="50"/>
      <c r="AI28" s="50"/>
      <c r="AJ28" s="50"/>
      <c r="AK28" s="50"/>
      <c r="AL28" s="50"/>
      <c r="AM28" s="50"/>
      <c r="AN28" s="50"/>
      <c r="AO28" s="50"/>
      <c r="AP28" s="50"/>
      <c r="AQ28" s="50"/>
      <c r="AR28" s="50"/>
      <c r="AS28" s="50"/>
      <c r="AT28" s="50"/>
      <c r="AU28" s="50"/>
      <c r="AV28" s="50"/>
      <c r="AW28" s="50"/>
      <c r="AX28" s="50"/>
      <c r="AY28" s="50"/>
      <c r="AZ28" s="50"/>
      <c r="BA28" s="50"/>
      <c r="BB28" s="50"/>
      <c r="BC28" s="50"/>
      <c r="BD28" s="50"/>
      <c r="BE28" s="50"/>
    </row>
    <row r="29" spans="2:57" ht="13.5" x14ac:dyDescent="0.45">
      <c r="B29" s="50" t="s">
        <v>18</v>
      </c>
      <c r="C29" s="50"/>
      <c r="D29" s="53">
        <f>INDEX('Data - insamling av data'!$AD$6:$AD$26,MATCH('Data - beräkning av pot vårdpla'!$B29,'Data - insamling av data'!$B$6:$B$26,0))</f>
        <v>22.195943423076923</v>
      </c>
      <c r="E29" s="107">
        <f>INDEX('Data - insamling av data'!$AJ$6:$AJ$26,MATCH($B29,'Data - insamling av data'!$B$6:$B$26,0))</f>
        <v>0.52627150783429599</v>
      </c>
      <c r="F29" s="53">
        <f>INDEX('Data - insamling av data'!$AS$6:$AS$26,MATCH('Data - beräkning av pot vårdpla'!$B29,'Data - insamling av data'!$B$6:$B$26,0))</f>
        <v>10.446520014092725</v>
      </c>
      <c r="G29" s="53">
        <f>INDEX('Data - insamling av data'!$AY$6:$AY$26,MATCH('Data - beräkning av pot vårdpla'!$B29,'Data - insamling av data'!$B$6:$B$26,0))</f>
        <v>0.56456135852133105</v>
      </c>
      <c r="H29" s="53">
        <f>INDEX('Data - insamling av data'!$AM$6:$AM$26,MATCH(B29,'Data - insamling av data'!$B$6:$B$27,0))</f>
        <v>12.448852987798844</v>
      </c>
      <c r="I29" s="107">
        <f>INDEX('Data - insamling av data'!$BE$6:$BE$26,MATCH('Data - beräkning av pot vårdpla'!$B29,'Data - insamling av data'!$B$6:$B$26,0))</f>
        <v>3.9856209166000198</v>
      </c>
      <c r="J29" s="107">
        <f>INDEX('Data - insamling av data'!$BK$6:$BK$26,MATCH('Data - beräkning av pot vårdpla'!B29,'Data - insamling av data'!$B$6:$B$27,0))</f>
        <v>1.5292331389977247</v>
      </c>
      <c r="K29" s="107">
        <f>INDEX('Data - insamling av data'!$BQ$6:$BQ$26,MATCH('Data - beräkning av pot vårdpla'!B29,'Data - insamling av data'!$B$6:$B$27,0))</f>
        <v>0.18906741393936538</v>
      </c>
      <c r="L29" s="53" t="str">
        <f>INDEX('Data - insamling av data'!$BW$6:$BW$26,MATCH('Data - beräkning av pot vårdpla'!$B29,'Data - insamling av data'!$B$6:$B$26,0))</f>
        <v/>
      </c>
      <c r="M29" s="95">
        <f>INDEX('Data - insamling av data'!$CC$6:$CC$26,MATCH('Data - beräkning av pot vårdpla'!$B29,'Data - insamling av data'!$B$6:$B$26,0))</f>
        <v>36.217109589041087</v>
      </c>
      <c r="N29" s="53">
        <f t="shared" si="0"/>
        <v>86.573947210904578</v>
      </c>
      <c r="O29" s="53">
        <f t="shared" si="1"/>
        <v>22.722214930911218</v>
      </c>
      <c r="P29" s="53">
        <f t="shared" si="2"/>
        <v>63.851732279993371</v>
      </c>
      <c r="Q29" s="50"/>
      <c r="R29" s="50"/>
      <c r="S29" s="50"/>
      <c r="T29" s="50"/>
      <c r="U29" s="50"/>
      <c r="V29" s="50"/>
      <c r="W29" s="50"/>
      <c r="X29" s="50"/>
      <c r="Y29" s="50"/>
      <c r="Z29" s="50"/>
      <c r="AA29" s="50"/>
      <c r="AB29" s="50"/>
      <c r="AC29" s="50"/>
      <c r="AD29" s="50"/>
      <c r="AE29" s="50"/>
      <c r="AF29" s="50"/>
      <c r="AG29" s="50"/>
      <c r="AH29" s="50"/>
      <c r="AI29" s="50"/>
      <c r="AJ29" s="50"/>
      <c r="AK29" s="50"/>
      <c r="AL29" s="50"/>
      <c r="AM29" s="50"/>
      <c r="AN29" s="50"/>
      <c r="AO29" s="50"/>
      <c r="AP29" s="50"/>
      <c r="AQ29" s="50"/>
      <c r="AR29" s="50"/>
      <c r="AS29" s="50"/>
      <c r="AT29" s="50"/>
      <c r="AU29" s="50"/>
      <c r="AV29" s="50"/>
      <c r="AW29" s="50"/>
      <c r="AX29" s="50"/>
      <c r="AY29" s="50"/>
      <c r="AZ29" s="50"/>
      <c r="BA29" s="50"/>
      <c r="BB29" s="50"/>
      <c r="BC29" s="50"/>
      <c r="BD29" s="50"/>
      <c r="BE29" s="50"/>
    </row>
    <row r="30" spans="2:57" ht="13.5" x14ac:dyDescent="0.45">
      <c r="B30" s="50" t="s">
        <v>19</v>
      </c>
      <c r="C30" s="50"/>
      <c r="D30" s="53">
        <f>INDEX('Data - insamling av data'!$AD$6:$AD$26,MATCH('Data - beräkning av pot vårdpla'!$B30,'Data - insamling av data'!$B$6:$B$26,0))</f>
        <v>138.60254317032968</v>
      </c>
      <c r="E30" s="107">
        <f>INDEX('Data - insamling av data'!$AJ$6:$AJ$26,MATCH($B30,'Data - insamling av data'!$B$6:$B$26,0))</f>
        <v>56.818619323114547</v>
      </c>
      <c r="F30" s="53">
        <f>INDEX('Data - insamling av data'!$AS$6:$AS$26,MATCH('Data - beräkning av pot vårdpla'!$B30,'Data - insamling av data'!$B$6:$B$26,0))</f>
        <v>18.951303860783582</v>
      </c>
      <c r="G30" s="53" t="str">
        <f>INDEX('Data - insamling av data'!$AY$6:$AY$26,MATCH('Data - beräkning av pot vårdpla'!$B30,'Data - insamling av data'!$B$6:$B$26,0))</f>
        <v/>
      </c>
      <c r="H30" s="53">
        <f>INDEX('Data - insamling av data'!$AM$6:$AM$26,MATCH(B30,'Data - insamling av data'!$B$6:$B$27,0))</f>
        <v>13.000871469401577</v>
      </c>
      <c r="I30" s="107" t="str">
        <f>INDEX('Data - insamling av data'!$BE$6:$BE$26,MATCH('Data - beräkning av pot vårdpla'!$B30,'Data - insamling av data'!$B$6:$B$26,0))</f>
        <v/>
      </c>
      <c r="J30" s="107">
        <f>INDEX('Data - insamling av data'!$BK$6:$BK$26,MATCH('Data - beräkning av pot vårdpla'!B30,'Data - insamling av data'!$B$6:$B$27,0))</f>
        <v>5.647189796779525</v>
      </c>
      <c r="K30" s="107">
        <f>INDEX('Data - insamling av data'!$BQ$6:$BQ$26,MATCH('Data - beräkning av pot vårdpla'!B30,'Data - insamling av data'!$B$6:$B$27,0))</f>
        <v>2.8611672440228015E-2</v>
      </c>
      <c r="L30" s="53">
        <f>INDEX('Data - insamling av data'!$BW$6:$BW$26,MATCH('Data - beräkning av pot vårdpla'!$B30,'Data - insamling av data'!$B$6:$B$26,0))</f>
        <v>9.7269614167403606</v>
      </c>
      <c r="M30" s="95">
        <f>INDEX('Data - insamling av data'!$CC$6:$CC$26,MATCH('Data - beräkning av pot vårdpla'!$B30,'Data - insamling av data'!$B$6:$B$26,0))</f>
        <v>161.41740273972596</v>
      </c>
      <c r="N30" s="53">
        <f t="shared" si="0"/>
        <v>398.5463136525359</v>
      </c>
      <c r="O30" s="53">
        <f t="shared" si="1"/>
        <v>195.42116249344423</v>
      </c>
      <c r="P30" s="53">
        <f t="shared" si="2"/>
        <v>203.1251511590917</v>
      </c>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c r="BA30" s="50"/>
      <c r="BB30" s="50"/>
      <c r="BC30" s="50"/>
      <c r="BD30" s="50"/>
      <c r="BE30" s="50"/>
    </row>
    <row r="31" spans="2:57" ht="13.5" x14ac:dyDescent="0.45">
      <c r="B31" s="58" t="s">
        <v>54</v>
      </c>
      <c r="C31" s="50"/>
      <c r="D31" s="69">
        <f t="shared" ref="D31:I31" si="3">SUM(D10:D30)</f>
        <v>405.46653908516481</v>
      </c>
      <c r="E31" s="69">
        <f t="shared" si="3"/>
        <v>509.12008687293365</v>
      </c>
      <c r="F31" s="69">
        <f t="shared" si="3"/>
        <v>224.38117088895831</v>
      </c>
      <c r="G31" s="69">
        <f t="shared" si="3"/>
        <v>54.127004712259307</v>
      </c>
      <c r="H31" s="53">
        <f t="shared" si="3"/>
        <v>77.011912316254296</v>
      </c>
      <c r="I31" s="53">
        <f t="shared" si="3"/>
        <v>161.80055289260267</v>
      </c>
      <c r="J31" s="53">
        <f>SUM(J10:J30)</f>
        <v>118.55576785668386</v>
      </c>
      <c r="K31" s="53">
        <f>SUM(K10:K30)</f>
        <v>8.2149329842177146</v>
      </c>
      <c r="L31" s="69">
        <f>SUM(L10:L30)</f>
        <v>218.36818706843289</v>
      </c>
      <c r="M31" s="96">
        <f>SUM(M10:M30)</f>
        <v>611.32876287671206</v>
      </c>
      <c r="N31" s="69">
        <f>SUM(D31:I31)+SUM(K31:M31)</f>
        <v>2269.819149697536</v>
      </c>
      <c r="O31" s="53">
        <f t="shared" si="1"/>
        <v>914.58662595809847</v>
      </c>
      <c r="P31" s="53">
        <f>SUM(F31:I31,K31:M31)</f>
        <v>1355.2325237394373</v>
      </c>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c r="AS31" s="50"/>
      <c r="AT31" s="50"/>
      <c r="AU31" s="50"/>
      <c r="AV31" s="50"/>
      <c r="AW31" s="50"/>
      <c r="AX31" s="50"/>
      <c r="AY31" s="50"/>
      <c r="AZ31" s="50"/>
      <c r="BA31" s="50"/>
      <c r="BB31" s="50"/>
      <c r="BC31" s="50"/>
      <c r="BD31" s="50"/>
      <c r="BE31" s="50"/>
    </row>
    <row r="32" spans="2:57" ht="13.5" x14ac:dyDescent="0.45">
      <c r="B32" s="50"/>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0"/>
      <c r="AR32" s="50"/>
      <c r="AS32" s="50"/>
      <c r="AT32" s="50"/>
      <c r="AU32" s="50"/>
      <c r="AV32" s="50"/>
      <c r="AW32" s="50"/>
      <c r="AX32" s="50"/>
      <c r="AY32" s="50"/>
      <c r="AZ32" s="50"/>
      <c r="BA32" s="50"/>
      <c r="BB32" s="50"/>
      <c r="BC32" s="50"/>
      <c r="BD32" s="50"/>
      <c r="BE32" s="50"/>
    </row>
    <row r="33" spans="2:57" ht="13.5" x14ac:dyDescent="0.45">
      <c r="B33" s="50"/>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50"/>
      <c r="AU33" s="50"/>
      <c r="AV33" s="50"/>
      <c r="AW33" s="50"/>
      <c r="AX33" s="50"/>
      <c r="AY33" s="50"/>
      <c r="AZ33" s="50"/>
      <c r="BA33" s="50"/>
      <c r="BB33" s="50"/>
      <c r="BC33" s="50"/>
      <c r="BD33" s="50"/>
      <c r="BE33" s="50"/>
    </row>
    <row r="34" spans="2:57" ht="13.5" x14ac:dyDescent="0.45">
      <c r="B34" s="50" t="s">
        <v>114</v>
      </c>
      <c r="C34" s="50"/>
      <c r="D34" s="58" t="s">
        <v>121</v>
      </c>
      <c r="E34" s="50"/>
      <c r="F34" s="58" t="s">
        <v>122</v>
      </c>
      <c r="G34" s="50"/>
      <c r="H34" s="58" t="s">
        <v>125</v>
      </c>
      <c r="I34" s="50" t="s">
        <v>126</v>
      </c>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row>
    <row r="35" spans="2:57" ht="13.5" x14ac:dyDescent="0.45">
      <c r="C35" s="50"/>
      <c r="D35" s="50" t="s">
        <v>115</v>
      </c>
      <c r="E35" s="50">
        <v>6</v>
      </c>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0"/>
      <c r="AS35" s="50"/>
      <c r="AT35" s="50"/>
      <c r="AU35" s="50"/>
      <c r="AV35" s="50"/>
      <c r="AW35" s="50"/>
      <c r="AX35" s="50"/>
      <c r="AY35" s="50"/>
      <c r="AZ35" s="50"/>
      <c r="BA35" s="50"/>
      <c r="BB35" s="50"/>
      <c r="BC35" s="50"/>
      <c r="BD35" s="50"/>
      <c r="BE35" s="50"/>
    </row>
    <row r="36" spans="2:57" ht="13.5" x14ac:dyDescent="0.45">
      <c r="B36" s="50"/>
      <c r="C36" s="50"/>
      <c r="D36" s="50" t="s">
        <v>116</v>
      </c>
      <c r="E36" s="65">
        <f>1/E35</f>
        <v>0.16666666666666666</v>
      </c>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c r="AS36" s="50"/>
      <c r="AT36" s="50"/>
      <c r="AU36" s="50"/>
      <c r="AV36" s="50"/>
      <c r="AW36" s="50"/>
      <c r="AX36" s="50"/>
      <c r="AY36" s="50"/>
      <c r="AZ36" s="50"/>
      <c r="BA36" s="50"/>
      <c r="BB36" s="50"/>
      <c r="BC36" s="50"/>
      <c r="BD36" s="50"/>
      <c r="BE36" s="50"/>
    </row>
    <row r="37" spans="2:57" ht="13.5" x14ac:dyDescent="0.45">
      <c r="B37" s="50"/>
      <c r="C37" s="50"/>
      <c r="D37" s="50" t="s">
        <v>117</v>
      </c>
      <c r="E37" s="50">
        <v>34</v>
      </c>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W37" s="50"/>
      <c r="AX37" s="50"/>
      <c r="AY37" s="50"/>
      <c r="AZ37" s="50"/>
      <c r="BA37" s="50"/>
      <c r="BB37" s="50"/>
      <c r="BC37" s="50"/>
      <c r="BD37" s="50"/>
      <c r="BE37" s="50"/>
    </row>
    <row r="38" spans="2:57" ht="13.5" x14ac:dyDescent="0.45">
      <c r="B38" s="50"/>
      <c r="C38" s="50"/>
      <c r="D38" s="50" t="s">
        <v>118</v>
      </c>
      <c r="E38" s="50">
        <v>47</v>
      </c>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row>
    <row r="39" spans="2:57" ht="13.5" x14ac:dyDescent="0.45">
      <c r="B39" s="50"/>
      <c r="C39" s="50"/>
      <c r="D39" s="50" t="s">
        <v>119</v>
      </c>
      <c r="E39" s="63">
        <v>0.91700000000000004</v>
      </c>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0"/>
      <c r="AL39" s="50"/>
      <c r="AM39" s="50"/>
      <c r="AN39" s="50"/>
      <c r="AO39" s="50"/>
      <c r="AP39" s="50"/>
      <c r="AQ39" s="50"/>
      <c r="AR39" s="50"/>
      <c r="AS39" s="50"/>
      <c r="AT39" s="50"/>
      <c r="AU39" s="50"/>
      <c r="AV39" s="50"/>
      <c r="AW39" s="50"/>
      <c r="AX39" s="50"/>
      <c r="AY39" s="50"/>
      <c r="AZ39" s="50"/>
      <c r="BA39" s="50"/>
      <c r="BB39" s="50"/>
      <c r="BC39" s="50"/>
      <c r="BD39" s="50"/>
      <c r="BE39" s="50"/>
    </row>
    <row r="40" spans="2:57" ht="13.5" x14ac:dyDescent="0.45">
      <c r="B40" s="50"/>
      <c r="C40" s="50"/>
      <c r="D40" s="50" t="s">
        <v>120</v>
      </c>
      <c r="E40" s="65">
        <f>((24*7*52)/(E37*E39*47)*E36)</f>
        <v>0.9936084227421681</v>
      </c>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c r="AS40" s="50"/>
      <c r="AT40" s="50"/>
      <c r="AU40" s="50"/>
      <c r="AV40" s="50"/>
      <c r="AW40" s="50"/>
      <c r="AX40" s="50"/>
      <c r="AY40" s="50"/>
      <c r="AZ40" s="50"/>
      <c r="BA40" s="50"/>
      <c r="BB40" s="50"/>
      <c r="BC40" s="50"/>
      <c r="BD40" s="50"/>
      <c r="BE40" s="50"/>
    </row>
    <row r="41" spans="2:57" ht="13.5" x14ac:dyDescent="0.45">
      <c r="B41" s="50"/>
      <c r="C41" s="50"/>
      <c r="D41" s="50" t="s">
        <v>152</v>
      </c>
      <c r="E41" s="50">
        <v>0.8</v>
      </c>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row>
  </sheetData>
  <sheetProtection sheet="1" objects="1" scenarios="1"/>
  <mergeCells count="2">
    <mergeCell ref="D4:E4"/>
    <mergeCell ref="F4:L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544E7-3C6E-46D2-BD07-1B1765678153}">
  <sheetPr>
    <tabColor rgb="FF017CC1"/>
  </sheetPr>
  <dimension ref="A1:BB89"/>
  <sheetViews>
    <sheetView zoomScaleNormal="100" workbookViewId="0"/>
  </sheetViews>
  <sheetFormatPr defaultColWidth="8.453125" defaultRowHeight="12" x14ac:dyDescent="0.3"/>
  <cols>
    <col min="1" max="1" width="1.453125" style="219" customWidth="1"/>
    <col min="2" max="2" width="31.81640625" style="220" customWidth="1"/>
    <col min="3" max="3" width="1" style="220" customWidth="1"/>
    <col min="4" max="4" width="93" style="220" customWidth="1"/>
    <col min="5" max="5" width="1.1796875" style="220" customWidth="1"/>
    <col min="6" max="6" width="12.1796875" style="220" customWidth="1"/>
    <col min="7" max="7" width="0.81640625" style="220" customWidth="1"/>
    <col min="8" max="8" width="12.54296875" style="220" customWidth="1"/>
    <col min="9" max="9" width="1.1796875" style="220" customWidth="1"/>
    <col min="10" max="10" width="18.453125" style="220" customWidth="1"/>
    <col min="11" max="11" width="2" style="220" customWidth="1"/>
    <col min="12" max="12" width="1.7265625" style="220" customWidth="1"/>
    <col min="13" max="22" width="8.453125" style="220"/>
    <col min="23" max="48" width="8.453125" style="219"/>
    <col min="49" max="16384" width="8.453125" style="220"/>
  </cols>
  <sheetData>
    <row r="1" spans="2:54" s="219" customFormat="1" x14ac:dyDescent="0.3">
      <c r="AW1" s="220"/>
      <c r="AX1" s="220"/>
      <c r="AY1" s="220"/>
      <c r="AZ1" s="220"/>
      <c r="BA1" s="220"/>
      <c r="BB1" s="220"/>
    </row>
    <row r="2" spans="2:54" ht="20.5" customHeight="1" x14ac:dyDescent="0.55000000000000004">
      <c r="B2" s="131" t="s">
        <v>202</v>
      </c>
      <c r="C2" s="222"/>
      <c r="D2" s="223"/>
      <c r="E2" s="223"/>
      <c r="F2" s="223"/>
      <c r="G2" s="223"/>
      <c r="H2" s="223"/>
      <c r="I2" s="223"/>
      <c r="J2" s="223" t="s">
        <v>201</v>
      </c>
      <c r="K2" s="219"/>
      <c r="L2" s="219"/>
      <c r="M2" s="219"/>
      <c r="N2" s="219"/>
      <c r="O2" s="219"/>
      <c r="P2" s="219"/>
      <c r="Q2" s="219"/>
      <c r="R2" s="219"/>
      <c r="S2" s="219"/>
      <c r="T2" s="219"/>
      <c r="U2" s="219"/>
      <c r="V2" s="219"/>
    </row>
    <row r="3" spans="2:54" ht="18" customHeight="1" x14ac:dyDescent="0.5">
      <c r="B3" s="224" t="s">
        <v>77</v>
      </c>
      <c r="C3" s="224"/>
      <c r="D3" s="224" t="str">
        <f>Instruktioner!E20</f>
        <v>Dalarna</v>
      </c>
      <c r="E3" s="225"/>
      <c r="F3" s="225"/>
      <c r="G3" s="225"/>
      <c r="H3" s="225"/>
      <c r="I3" s="225"/>
      <c r="J3" s="225"/>
      <c r="K3" s="219"/>
      <c r="L3" s="219"/>
      <c r="M3" s="219"/>
      <c r="N3" s="219"/>
      <c r="O3" s="219"/>
      <c r="P3" s="219"/>
      <c r="Q3" s="219"/>
      <c r="R3" s="219"/>
      <c r="S3" s="219"/>
      <c r="T3" s="219"/>
      <c r="U3" s="219"/>
      <c r="V3" s="219"/>
    </row>
    <row r="4" spans="2:54" ht="75" customHeight="1" x14ac:dyDescent="0.3">
      <c r="B4" s="371" t="s">
        <v>370</v>
      </c>
      <c r="C4" s="371"/>
      <c r="D4" s="371"/>
      <c r="E4" s="371"/>
      <c r="F4" s="371"/>
      <c r="G4" s="371"/>
      <c r="H4" s="371"/>
      <c r="I4" s="371"/>
      <c r="J4" s="371"/>
      <c r="K4" s="219"/>
      <c r="L4" s="219"/>
      <c r="M4" s="219"/>
      <c r="N4" s="219"/>
      <c r="O4" s="219"/>
      <c r="P4" s="219"/>
      <c r="Q4" s="219"/>
      <c r="R4" s="219"/>
      <c r="S4" s="219"/>
      <c r="T4" s="219"/>
      <c r="U4" s="219"/>
      <c r="V4" s="219"/>
    </row>
    <row r="5" spans="2:54" ht="13.5" customHeight="1" x14ac:dyDescent="0.3">
      <c r="B5" s="219"/>
      <c r="C5" s="219"/>
      <c r="D5" s="219"/>
      <c r="E5" s="219"/>
      <c r="F5" s="219"/>
      <c r="G5" s="219"/>
      <c r="H5" s="219"/>
      <c r="I5" s="219"/>
      <c r="J5" s="219"/>
      <c r="K5" s="219"/>
      <c r="L5" s="219"/>
      <c r="M5" s="219"/>
      <c r="N5" s="219"/>
      <c r="O5" s="219"/>
      <c r="P5" s="219"/>
      <c r="Q5" s="219"/>
      <c r="R5" s="219"/>
      <c r="S5" s="219"/>
      <c r="T5" s="219"/>
      <c r="U5" s="219"/>
      <c r="V5" s="219"/>
    </row>
    <row r="6" spans="2:54" ht="18" customHeight="1" x14ac:dyDescent="0.5">
      <c r="B6" s="221" t="s">
        <v>83</v>
      </c>
      <c r="C6" s="226"/>
      <c r="D6" s="221" t="s">
        <v>81</v>
      </c>
      <c r="E6" s="227"/>
      <c r="F6" s="221" t="s">
        <v>368</v>
      </c>
      <c r="G6" s="227"/>
      <c r="H6" s="221" t="s">
        <v>82</v>
      </c>
      <c r="I6" s="228"/>
      <c r="J6" s="221" t="s">
        <v>86</v>
      </c>
      <c r="K6" s="219"/>
      <c r="L6" s="219"/>
      <c r="M6" s="219"/>
      <c r="N6" s="219"/>
      <c r="O6" s="219"/>
      <c r="P6" s="219"/>
      <c r="Q6" s="219"/>
      <c r="R6" s="219"/>
      <c r="S6" s="219"/>
      <c r="T6" s="219"/>
      <c r="U6" s="219"/>
      <c r="V6" s="219"/>
    </row>
    <row r="7" spans="2:54" ht="18" customHeight="1" x14ac:dyDescent="0.5">
      <c r="B7" s="372" t="s">
        <v>371</v>
      </c>
      <c r="C7" s="229"/>
      <c r="D7" s="230" t="s">
        <v>21</v>
      </c>
      <c r="E7" s="229"/>
      <c r="F7" s="286">
        <f>'Data - insamling av data'!I30</f>
        <v>1.7</v>
      </c>
      <c r="G7" s="229"/>
      <c r="H7" s="286">
        <f>INDEX('Data - insamling av data'!I6:I27,MATCH('Översikt - Målsatta mått'!D3,'Data - insamling av data'!B6:B27,0))</f>
        <v>2.7211596874541764</v>
      </c>
      <c r="J7" s="290">
        <f>RANK('Översikt - Målsatta mått'!H7,'Data - insamling av data'!I6:I26,1)</f>
        <v>8</v>
      </c>
      <c r="K7" s="219"/>
      <c r="L7" s="219"/>
      <c r="M7" s="219"/>
      <c r="N7" s="219"/>
      <c r="O7" s="219"/>
      <c r="P7" s="219"/>
      <c r="Q7" s="219"/>
      <c r="R7" s="219"/>
      <c r="S7" s="219"/>
      <c r="T7" s="219"/>
      <c r="U7" s="219"/>
      <c r="V7" s="219"/>
    </row>
    <row r="8" spans="2:54" ht="18" customHeight="1" x14ac:dyDescent="0.5">
      <c r="B8" s="372"/>
      <c r="C8" s="229"/>
      <c r="D8" s="231" t="s">
        <v>112</v>
      </c>
      <c r="E8" s="229"/>
      <c r="F8" s="287">
        <f>'Data - insamling av data'!K30</f>
        <v>1.13932372116473</v>
      </c>
      <c r="G8" s="229"/>
      <c r="H8" s="287">
        <f>INDEX('Data - insamling av data'!K6:K27,MATCH('Översikt - Målsatta mått'!D3,'Data - insamling av data'!B6:B27,0))</f>
        <v>2.6764703828616514</v>
      </c>
      <c r="J8" s="290">
        <f>RANK(H8,'Data - insamling av data'!K6:K26,1)</f>
        <v>16</v>
      </c>
      <c r="K8" s="219"/>
      <c r="L8" s="219"/>
      <c r="M8" s="219"/>
      <c r="N8" s="219"/>
      <c r="O8" s="219"/>
      <c r="P8" s="219"/>
      <c r="Q8" s="219"/>
      <c r="R8" s="219"/>
      <c r="S8" s="219"/>
      <c r="T8" s="219"/>
      <c r="U8" s="219"/>
      <c r="V8" s="219"/>
    </row>
    <row r="9" spans="2:54" ht="34.5" customHeight="1" x14ac:dyDescent="0.5">
      <c r="B9" s="372"/>
      <c r="C9" s="229"/>
      <c r="D9" s="231" t="s">
        <v>84</v>
      </c>
      <c r="E9" s="229"/>
      <c r="F9" s="288">
        <f>'Data - insamling av data'!P30</f>
        <v>0.1411053586678053</v>
      </c>
      <c r="G9" s="229"/>
      <c r="H9" s="289">
        <f>INDEX('Data - insamling av data'!P6:P27,MATCH('Översikt - Målsatta mått'!D3,'Data - insamling av data'!B6:B27,0))</f>
        <v>0.14645225291077116</v>
      </c>
      <c r="J9" s="290">
        <f>RANK(H9,'Data - insamling av data'!P6:P26,1)</f>
        <v>5</v>
      </c>
      <c r="K9" s="219"/>
      <c r="L9" s="219"/>
      <c r="M9" s="219"/>
      <c r="N9" s="219"/>
      <c r="O9" s="219"/>
      <c r="P9" s="219"/>
      <c r="Q9" s="219"/>
      <c r="R9" s="219"/>
      <c r="S9" s="219"/>
      <c r="T9" s="219"/>
      <c r="U9" s="219"/>
      <c r="V9" s="219"/>
    </row>
    <row r="10" spans="2:54" ht="18" customHeight="1" x14ac:dyDescent="0.5">
      <c r="B10" s="372"/>
      <c r="C10" s="229"/>
      <c r="D10" s="231" t="s">
        <v>85</v>
      </c>
      <c r="E10" s="229"/>
      <c r="F10" s="288">
        <v>0</v>
      </c>
      <c r="G10" s="229"/>
      <c r="H10" s="289">
        <f>INDEX('Data - insamling av data'!X6:X27,MATCH('Översikt - Målsatta mått'!D3,'Data - insamling av data'!B6:B27,0))</f>
        <v>0.36072308956450289</v>
      </c>
      <c r="J10" s="290">
        <f>RANK('Översikt - Målsatta mått'!H10,'Data - insamling av data'!X6:X26,1)</f>
        <v>11</v>
      </c>
      <c r="K10" s="219"/>
      <c r="L10" s="219"/>
      <c r="M10" s="219"/>
      <c r="N10" s="219"/>
      <c r="O10" s="219"/>
      <c r="P10" s="219"/>
      <c r="Q10" s="219"/>
      <c r="R10" s="219"/>
      <c r="S10" s="219"/>
      <c r="T10" s="219"/>
      <c r="U10" s="219"/>
      <c r="V10" s="219"/>
    </row>
    <row r="11" spans="2:54" ht="18" customHeight="1" x14ac:dyDescent="0.5">
      <c r="B11" s="229"/>
      <c r="C11" s="229"/>
      <c r="D11" s="229"/>
      <c r="E11" s="229"/>
      <c r="F11" s="229"/>
      <c r="G11" s="229"/>
      <c r="H11" s="229"/>
      <c r="I11" s="219"/>
      <c r="J11" s="229"/>
      <c r="K11" s="219"/>
      <c r="L11" s="219"/>
      <c r="M11" s="219"/>
      <c r="N11" s="219"/>
      <c r="O11" s="219"/>
      <c r="P11" s="219"/>
      <c r="Q11" s="219"/>
      <c r="R11" s="219"/>
      <c r="S11" s="219"/>
      <c r="T11" s="219"/>
      <c r="U11" s="219"/>
      <c r="V11" s="219"/>
    </row>
    <row r="12" spans="2:54" ht="18" customHeight="1" x14ac:dyDescent="0.5">
      <c r="B12" s="372" t="s">
        <v>142</v>
      </c>
      <c r="C12" s="229"/>
      <c r="D12" s="232" t="s">
        <v>87</v>
      </c>
      <c r="E12" s="229"/>
      <c r="F12" s="291">
        <f>'Data - insamling av data'!AA30</f>
        <v>3.1E-2</v>
      </c>
      <c r="G12" s="229"/>
      <c r="H12" s="291">
        <f>IF(INDEX('Data - insamling av data'!AA6:AA27,MATCH('Översikt - Målsatta mått'!D3,'Data - insamling av data'!B6:B27,0))="","Saknas för region",INDEX('Data - insamling av data'!AA6:AA27,MATCH('Översikt - Målsatta mått'!D3,'Data - insamling av data'!B6:B27,0)))</f>
        <v>5.1374819102749637E-2</v>
      </c>
      <c r="J12" s="290">
        <f>IF(H12="Saknas för region","-",RANK(H12,'Data - insamling av data'!AA6:AA26,1))</f>
        <v>18</v>
      </c>
      <c r="K12" s="219"/>
      <c r="L12" s="219"/>
      <c r="M12" s="219"/>
      <c r="N12" s="219"/>
      <c r="O12" s="219"/>
      <c r="P12" s="219"/>
      <c r="Q12" s="219"/>
      <c r="R12" s="219"/>
      <c r="S12" s="219"/>
      <c r="T12" s="219"/>
      <c r="U12" s="219"/>
      <c r="V12" s="219"/>
    </row>
    <row r="13" spans="2:54" ht="18" customHeight="1" x14ac:dyDescent="0.5">
      <c r="B13" s="372"/>
      <c r="C13" s="229"/>
      <c r="D13" s="231" t="s">
        <v>88</v>
      </c>
      <c r="E13" s="229"/>
      <c r="F13" s="289">
        <f>'Data - insamling av data'!AG30</f>
        <v>6.3745019920318807E-2</v>
      </c>
      <c r="G13" s="229"/>
      <c r="H13" s="289">
        <f>IF(INDEX('Data - insamling av data'!AG6:AG26,MATCH('Översikt - Målsatta mått'!D3,'Data - beräkning av pot vårdpla'!B10:B30,0))="","Data saknas för region",INDEX('Data - insamling av data'!AG6:AG26,MATCH('Översikt - Målsatta mått'!D3,'Data - beräkning av pot vårdpla'!B10:B30,0)))</f>
        <v>7.1397474967348704E-2</v>
      </c>
      <c r="J13" s="290">
        <f>IF(H13="Saknas för region","-",RANK(H13,'Data - insamling av data'!AG6:AG26,1))</f>
        <v>10</v>
      </c>
      <c r="K13" s="219"/>
      <c r="L13" s="219"/>
      <c r="M13" s="219"/>
      <c r="N13" s="219"/>
      <c r="O13" s="219"/>
      <c r="P13" s="219"/>
      <c r="Q13" s="219"/>
      <c r="R13" s="219"/>
      <c r="S13" s="219"/>
      <c r="T13" s="219"/>
      <c r="U13" s="219"/>
      <c r="V13" s="219"/>
    </row>
    <row r="14" spans="2:54" ht="18" customHeight="1" x14ac:dyDescent="0.5">
      <c r="B14" s="216"/>
      <c r="C14" s="229"/>
      <c r="D14" s="216"/>
      <c r="E14" s="229"/>
      <c r="F14" s="216"/>
      <c r="G14" s="229"/>
      <c r="H14" s="229"/>
      <c r="I14" s="219"/>
      <c r="J14" s="238"/>
      <c r="K14" s="219"/>
      <c r="L14" s="219"/>
      <c r="M14" s="219"/>
      <c r="N14" s="219"/>
      <c r="O14" s="219"/>
      <c r="P14" s="219"/>
      <c r="Q14" s="219"/>
      <c r="R14" s="219"/>
      <c r="S14" s="219"/>
      <c r="T14" s="219"/>
      <c r="U14" s="219"/>
      <c r="V14" s="219"/>
    </row>
    <row r="15" spans="2:54" ht="18" customHeight="1" x14ac:dyDescent="0.5">
      <c r="B15" s="234" t="s">
        <v>90</v>
      </c>
      <c r="C15" s="229"/>
      <c r="D15" s="235"/>
      <c r="E15" s="229"/>
      <c r="F15" s="235"/>
      <c r="G15" s="229"/>
      <c r="H15" s="236"/>
      <c r="J15" s="229"/>
      <c r="K15" s="219"/>
      <c r="L15" s="219"/>
      <c r="M15" s="219"/>
      <c r="N15" s="219"/>
      <c r="O15" s="219"/>
      <c r="P15" s="219"/>
      <c r="Q15" s="219"/>
      <c r="R15" s="219"/>
      <c r="S15" s="219"/>
      <c r="T15" s="219"/>
      <c r="U15" s="219"/>
      <c r="V15" s="219"/>
    </row>
    <row r="16" spans="2:54" ht="18" customHeight="1" x14ac:dyDescent="0.5">
      <c r="B16" s="216"/>
      <c r="C16" s="229"/>
      <c r="D16" s="237"/>
      <c r="E16" s="229"/>
      <c r="F16" s="237"/>
      <c r="G16" s="229"/>
      <c r="H16" s="229"/>
      <c r="I16" s="219"/>
      <c r="J16" s="229"/>
      <c r="K16" s="219"/>
      <c r="L16" s="219"/>
      <c r="M16" s="219"/>
      <c r="N16" s="219"/>
      <c r="O16" s="219"/>
      <c r="P16" s="219"/>
      <c r="Q16" s="219"/>
      <c r="R16" s="219"/>
      <c r="S16" s="219"/>
      <c r="T16" s="219"/>
      <c r="U16" s="219"/>
      <c r="V16" s="219"/>
    </row>
    <row r="17" spans="2:22" ht="18" customHeight="1" x14ac:dyDescent="0.5">
      <c r="B17" s="373" t="s">
        <v>91</v>
      </c>
      <c r="C17" s="229"/>
      <c r="D17" s="232" t="s">
        <v>92</v>
      </c>
      <c r="E17" s="229"/>
      <c r="F17" s="291">
        <f>'Data - insamling av data'!AO30</f>
        <v>0.12279117032687856</v>
      </c>
      <c r="G17" s="229"/>
      <c r="H17" s="294">
        <f>INDEX('Data - insamling av data'!AO6:AO27,MATCH('Översikt - Målsatta mått'!D3,'Data - insamling av data'!B6:B27,0))</f>
        <v>0.1383882328568469</v>
      </c>
      <c r="J17" s="290">
        <f>RANK(H17,'Data - insamling av data'!AO6:AO26,1)</f>
        <v>8</v>
      </c>
      <c r="K17" s="219"/>
      <c r="L17" s="219"/>
      <c r="M17" s="219"/>
      <c r="N17" s="219"/>
      <c r="O17" s="219"/>
      <c r="P17" s="219"/>
      <c r="Q17" s="219"/>
      <c r="R17" s="219"/>
      <c r="S17" s="219"/>
      <c r="T17" s="219"/>
      <c r="U17" s="219"/>
      <c r="V17" s="219"/>
    </row>
    <row r="18" spans="2:22" ht="18" customHeight="1" x14ac:dyDescent="0.5">
      <c r="B18" s="373"/>
      <c r="C18" s="229"/>
      <c r="D18" s="231" t="s">
        <v>93</v>
      </c>
      <c r="E18" s="229"/>
      <c r="F18" s="289">
        <f>'Data - insamling av data'!AU30</f>
        <v>8.6999999999999994E-2</v>
      </c>
      <c r="G18" s="229"/>
      <c r="H18" s="289">
        <f>INDEX('Data - insamling av data'!AU6:AU27,MATCH('Översikt - Målsatta mått'!D3,'Data - insamling av data'!B6:B27,0))</f>
        <v>0.10109265346006929</v>
      </c>
      <c r="J18" s="290">
        <f>RANK(H18,'Data - insamling av data'!AU6:AU26,1)</f>
        <v>11</v>
      </c>
      <c r="K18" s="219"/>
      <c r="L18" s="219"/>
      <c r="M18" s="219"/>
      <c r="N18" s="219"/>
      <c r="O18" s="219"/>
      <c r="P18" s="219"/>
      <c r="Q18" s="219"/>
      <c r="R18" s="219"/>
      <c r="S18" s="219"/>
      <c r="T18" s="219"/>
      <c r="U18" s="219"/>
      <c r="V18" s="219"/>
    </row>
    <row r="19" spans="2:22" ht="18" customHeight="1" x14ac:dyDescent="0.5">
      <c r="B19" s="373"/>
      <c r="C19" s="229"/>
      <c r="D19" s="231" t="s">
        <v>103</v>
      </c>
      <c r="E19" s="229"/>
      <c r="F19" s="289">
        <f>'Data - insamling av data'!AK30</f>
        <v>1.1393237211647299E-2</v>
      </c>
      <c r="G19" s="229"/>
      <c r="H19" s="289">
        <f>IF(INDEX('Data - insamling av data'!AK6:AK26,MATCH('Översikt - Målsatta mått'!D3,'Data - insamling av data'!B6:B27,0))="","Saknas från region",INDEX('Data - insamling av data'!AK6:AK26,MATCH('Översikt - Målsatta mått'!D3,'Data - insamling av data'!B6:B27,0)))</f>
        <v>2.6764703828616516E-2</v>
      </c>
      <c r="J19" s="290">
        <f>IF(H19="Saknas för region","-",RANK(H19,'Data - insamling av data'!AK6:AK27,1))</f>
        <v>17</v>
      </c>
      <c r="K19" s="219"/>
      <c r="L19" s="219"/>
      <c r="M19" s="219"/>
      <c r="N19" s="219"/>
      <c r="O19" s="219"/>
      <c r="P19" s="219"/>
      <c r="Q19" s="219"/>
      <c r="R19" s="219"/>
      <c r="S19" s="219"/>
      <c r="T19" s="219"/>
      <c r="U19" s="219"/>
      <c r="V19" s="219"/>
    </row>
    <row r="20" spans="2:22" ht="18" customHeight="1" x14ac:dyDescent="0.5">
      <c r="B20" s="373"/>
      <c r="C20" s="229"/>
      <c r="D20" s="231" t="s">
        <v>94</v>
      </c>
      <c r="E20" s="229"/>
      <c r="F20" s="292">
        <f>'Data - insamling av data'!BB30</f>
        <v>3725.3421734991957</v>
      </c>
      <c r="G20" s="229"/>
      <c r="H20" s="292">
        <f>INDEX('Data - insamling av data'!BB6:BB27,MATCH('Översikt - Målsatta mått'!D3,'Data - insamling av data'!B6:B27,0))</f>
        <v>4093.2462107010874</v>
      </c>
      <c r="J20" s="290">
        <f>RANK(H20,'Data - insamling av data'!BB6:BB26,1)</f>
        <v>11</v>
      </c>
      <c r="K20" s="219"/>
      <c r="L20" s="219"/>
      <c r="M20" s="219"/>
      <c r="N20" s="219"/>
      <c r="O20" s="219"/>
      <c r="P20" s="219"/>
      <c r="Q20" s="219"/>
      <c r="R20" s="219"/>
      <c r="S20" s="219"/>
      <c r="T20" s="219"/>
      <c r="U20" s="219"/>
      <c r="V20" s="219"/>
    </row>
    <row r="21" spans="2:22" ht="18" customHeight="1" x14ac:dyDescent="0.5">
      <c r="B21" s="373"/>
      <c r="C21" s="229"/>
      <c r="D21" s="231" t="s">
        <v>95</v>
      </c>
      <c r="E21" s="229"/>
      <c r="F21" s="292">
        <f>'Data - insamling av data'!BH30</f>
        <v>1472.6809843984595</v>
      </c>
      <c r="G21" s="229"/>
      <c r="H21" s="292">
        <f>INDEX('Data - insamling av data'!BH6:BH27,MATCH('Översikt - Målsatta mått'!D3,'Data - insamling av data'!B6:B27,0))</f>
        <v>1765.2298307646631</v>
      </c>
      <c r="J21" s="290">
        <f>RANK(H21,'Data - insamling av data'!BH6:BH26,1)</f>
        <v>11</v>
      </c>
      <c r="K21" s="219"/>
      <c r="L21" s="219"/>
      <c r="M21" s="219"/>
      <c r="N21" s="219"/>
      <c r="O21" s="219"/>
      <c r="P21" s="219"/>
      <c r="Q21" s="219"/>
      <c r="R21" s="219"/>
      <c r="S21" s="219"/>
      <c r="T21" s="219"/>
      <c r="U21" s="219"/>
      <c r="V21" s="219"/>
    </row>
    <row r="22" spans="2:22" ht="18" customHeight="1" x14ac:dyDescent="0.5">
      <c r="B22" s="373"/>
      <c r="C22" s="229"/>
      <c r="D22" s="231" t="s">
        <v>96</v>
      </c>
      <c r="E22" s="229"/>
      <c r="F22" s="292">
        <f>'Data - insamling av data'!BN30</f>
        <v>102.17557894965678</v>
      </c>
      <c r="G22" s="229"/>
      <c r="H22" s="292">
        <f>INDEX('Data - insamling av data'!BN6:BN27,MATCH('Översikt - Målsatta mått'!D3,'Data - insamling av data'!B6:B27,0))</f>
        <v>130.272704194113</v>
      </c>
      <c r="J22" s="290">
        <f>RANK(H22,'Data - insamling av data'!BN6:BN26,1)</f>
        <v>15</v>
      </c>
      <c r="K22" s="219"/>
      <c r="L22" s="219"/>
      <c r="M22" s="219"/>
      <c r="N22" s="219"/>
      <c r="O22" s="219"/>
      <c r="P22" s="219"/>
      <c r="Q22" s="219"/>
      <c r="R22" s="219"/>
      <c r="S22" s="219"/>
      <c r="T22" s="219"/>
      <c r="U22" s="219"/>
      <c r="V22" s="219"/>
    </row>
    <row r="23" spans="2:22" ht="18" customHeight="1" x14ac:dyDescent="0.5">
      <c r="B23" s="373"/>
      <c r="C23" s="229"/>
      <c r="D23" s="231" t="s">
        <v>97</v>
      </c>
      <c r="E23" s="229"/>
      <c r="F23" s="289">
        <f>'Data - insamling av data'!BT30</f>
        <v>2.3559604773514691E-2</v>
      </c>
      <c r="G23" s="229"/>
      <c r="H23" s="289">
        <f>INDEX('Data - insamling av data'!BT6:BT27,MATCH('Översikt - Målsatta mått'!D3,'Data - insamling av data'!B6:B27,0))</f>
        <v>2.89616453885395E-2</v>
      </c>
      <c r="J23" s="290">
        <f>RANK(H23,'Data - insamling av data'!BT6:BT26,1)</f>
        <v>13</v>
      </c>
      <c r="K23" s="219"/>
      <c r="L23" s="219"/>
      <c r="M23" s="219"/>
      <c r="N23" s="219"/>
      <c r="O23" s="219"/>
      <c r="P23" s="219"/>
      <c r="Q23" s="219"/>
      <c r="R23" s="219"/>
      <c r="S23" s="219"/>
      <c r="T23" s="219"/>
      <c r="U23" s="219"/>
      <c r="V23" s="219"/>
    </row>
    <row r="24" spans="2:22" ht="18" customHeight="1" x14ac:dyDescent="0.5">
      <c r="B24" s="373"/>
      <c r="C24" s="229"/>
      <c r="D24" s="231" t="s">
        <v>98</v>
      </c>
      <c r="E24" s="229"/>
      <c r="F24" s="288">
        <f>'Data - insamling av data'!CE30</f>
        <v>0.3539332786620108</v>
      </c>
      <c r="G24" s="229"/>
      <c r="H24" s="295">
        <f>_xlfn.XLOOKUP(D3,'Data - insamling av data'!B6:B26,'Data - insamling av data'!CE6:CE26)</f>
        <v>0.29778395587309814</v>
      </c>
      <c r="J24" s="296">
        <f>RANK(H24,'Data - insamling av data'!CE6:CE26,0)</f>
        <v>9</v>
      </c>
      <c r="K24" s="219"/>
      <c r="L24" s="219"/>
      <c r="M24" s="219"/>
      <c r="N24" s="219"/>
      <c r="O24" s="219"/>
      <c r="P24" s="219"/>
      <c r="Q24" s="219"/>
      <c r="R24" s="219"/>
      <c r="S24" s="219"/>
      <c r="T24" s="219"/>
      <c r="U24" s="219"/>
      <c r="V24" s="219"/>
    </row>
    <row r="25" spans="2:22" ht="18" customHeight="1" x14ac:dyDescent="0.5">
      <c r="B25" s="373"/>
      <c r="C25" s="229"/>
      <c r="D25" s="231" t="s">
        <v>99</v>
      </c>
      <c r="E25" s="229"/>
      <c r="F25" s="293">
        <f>'Data - insamling av data'!CD30</f>
        <v>0.37040357209841041</v>
      </c>
      <c r="G25" s="229"/>
      <c r="H25" s="295">
        <f>_xlfn.XLOOKUP(D3,'Data - insamling av data'!B6:B26,'Data - insamling av data'!CD6:CD26)</f>
        <v>0.13740713360528978</v>
      </c>
      <c r="J25" s="297">
        <f>RANK(H25,'Data - insamling av data'!CD6:CD26,0)</f>
        <v>19</v>
      </c>
      <c r="K25" s="219"/>
      <c r="L25" s="219"/>
      <c r="M25" s="219"/>
      <c r="N25" s="219"/>
      <c r="O25" s="219"/>
      <c r="P25" s="219"/>
      <c r="Q25" s="219"/>
      <c r="R25" s="219"/>
      <c r="S25" s="219"/>
      <c r="T25" s="219"/>
      <c r="U25" s="219"/>
      <c r="V25" s="219"/>
    </row>
    <row r="26" spans="2:22" ht="18" customHeight="1" x14ac:dyDescent="0.5">
      <c r="B26" s="229"/>
      <c r="C26" s="229"/>
      <c r="D26" s="229"/>
      <c r="E26" s="229"/>
      <c r="F26" s="238"/>
      <c r="G26" s="229"/>
      <c r="H26" s="229"/>
      <c r="I26" s="219"/>
      <c r="J26" s="238"/>
      <c r="K26" s="219"/>
      <c r="L26" s="219"/>
      <c r="M26" s="219"/>
      <c r="N26" s="219"/>
      <c r="O26" s="219"/>
      <c r="P26" s="219"/>
      <c r="Q26" s="219"/>
      <c r="R26" s="219"/>
      <c r="S26" s="219"/>
      <c r="T26" s="219"/>
      <c r="U26" s="219"/>
      <c r="V26" s="219"/>
    </row>
    <row r="27" spans="2:22" ht="18" customHeight="1" x14ac:dyDescent="0.5">
      <c r="B27" s="373" t="s">
        <v>100</v>
      </c>
      <c r="C27" s="229"/>
      <c r="D27" s="232" t="s">
        <v>101</v>
      </c>
      <c r="E27" s="229"/>
      <c r="F27" s="294">
        <f>'Data - insamling av data'!BY30</f>
        <v>4.7000000000000007E-2</v>
      </c>
      <c r="G27" s="229"/>
      <c r="H27" s="294">
        <f>INDEX('Data - insamling av data'!BY6:BY27,MATCH(D3,'Data - insamling av data'!B6:B27,0))</f>
        <v>3.216666666666667E-2</v>
      </c>
      <c r="J27" s="290">
        <f>RANK(H27,'Data - insamling av data'!BY6:BY26,1)</f>
        <v>2</v>
      </c>
      <c r="K27" s="219"/>
      <c r="L27" s="219"/>
      <c r="M27" s="219"/>
      <c r="N27" s="219"/>
      <c r="O27" s="219"/>
      <c r="P27" s="219"/>
      <c r="Q27" s="219"/>
      <c r="R27" s="219"/>
      <c r="S27" s="219"/>
      <c r="T27" s="219"/>
      <c r="U27" s="219"/>
      <c r="V27" s="219"/>
    </row>
    <row r="28" spans="2:22" ht="18" customHeight="1" x14ac:dyDescent="0.5">
      <c r="B28" s="373"/>
      <c r="C28" s="229"/>
      <c r="D28" s="231" t="s">
        <v>145</v>
      </c>
      <c r="E28" s="229"/>
      <c r="F28" s="289">
        <f>'Data - insamling av data'!CF30</f>
        <v>4.4014084507042256E-3</v>
      </c>
      <c r="G28" s="229"/>
      <c r="H28" s="289">
        <f>INDEX('Data - insamling av data'!CF6:CF26,MATCH('Översikt - Målsatta mått'!D3,'Data - insamling av data'!B6:B26,0))</f>
        <v>1.1664074650077761E-2</v>
      </c>
      <c r="J28" s="290">
        <f>RANK(H28,'Data - insamling av data'!CF6:CF26,1)</f>
        <v>12</v>
      </c>
      <c r="K28" s="219"/>
      <c r="L28" s="219"/>
      <c r="M28" s="219"/>
      <c r="N28" s="219"/>
      <c r="O28" s="219"/>
      <c r="P28" s="219"/>
      <c r="Q28" s="219"/>
      <c r="R28" s="219"/>
      <c r="S28" s="219"/>
      <c r="T28" s="219"/>
      <c r="U28" s="219"/>
      <c r="V28" s="219"/>
    </row>
    <row r="29" spans="2:22" ht="18" customHeight="1" x14ac:dyDescent="0.5">
      <c r="B29" s="373"/>
      <c r="C29" s="229"/>
      <c r="D29" s="231" t="s">
        <v>102</v>
      </c>
      <c r="E29" s="229"/>
      <c r="F29" s="294">
        <f>'Data - insamling av data'!CG30</f>
        <v>1.2999999999999999E-2</v>
      </c>
      <c r="G29" s="229"/>
      <c r="H29" s="289">
        <f>INDEX('Data - insamling av data'!CG6:CG26,MATCH('Översikt - Målsatta mått'!D3,'Data - insamling av data'!B6:B26,0))</f>
        <v>3.8377986965966691E-2</v>
      </c>
      <c r="J29" s="290">
        <f>RANK(H29,'Data - insamling av data'!CG6:CG26,1)</f>
        <v>21</v>
      </c>
      <c r="K29" s="219"/>
      <c r="L29" s="219"/>
      <c r="M29" s="219"/>
      <c r="N29" s="219"/>
      <c r="O29" s="219"/>
      <c r="P29" s="219"/>
      <c r="Q29" s="219"/>
      <c r="R29" s="219"/>
      <c r="S29" s="219"/>
      <c r="T29" s="219"/>
      <c r="U29" s="219"/>
      <c r="V29" s="219"/>
    </row>
    <row r="30" spans="2:22" ht="18" customHeight="1" x14ac:dyDescent="0.3">
      <c r="B30" s="219"/>
      <c r="C30" s="219"/>
      <c r="D30" s="219"/>
      <c r="E30" s="219"/>
      <c r="F30" s="233"/>
      <c r="G30" s="219"/>
      <c r="H30" s="219"/>
      <c r="I30" s="219"/>
      <c r="J30" s="219"/>
      <c r="K30" s="219"/>
      <c r="L30" s="219"/>
      <c r="M30" s="219"/>
      <c r="N30" s="219"/>
      <c r="O30" s="219"/>
      <c r="P30" s="219"/>
      <c r="Q30" s="219"/>
      <c r="R30" s="219"/>
      <c r="S30" s="219"/>
      <c r="T30" s="219"/>
      <c r="U30" s="219"/>
      <c r="V30" s="219"/>
    </row>
    <row r="31" spans="2:22" ht="18" customHeight="1" x14ac:dyDescent="0.3">
      <c r="B31" s="219"/>
      <c r="C31" s="219"/>
      <c r="D31" s="219"/>
      <c r="E31" s="219"/>
      <c r="F31" s="219"/>
      <c r="G31" s="219"/>
      <c r="H31" s="219"/>
      <c r="I31" s="219"/>
      <c r="J31" s="219"/>
      <c r="K31" s="219"/>
      <c r="L31" s="219"/>
      <c r="M31" s="219"/>
      <c r="N31" s="219"/>
      <c r="O31" s="219"/>
      <c r="P31" s="219"/>
      <c r="Q31" s="219"/>
      <c r="R31" s="219"/>
      <c r="S31" s="219"/>
      <c r="T31" s="219"/>
      <c r="U31" s="219"/>
      <c r="V31" s="219"/>
    </row>
    <row r="32" spans="2:22" ht="18" customHeight="1" x14ac:dyDescent="0.3">
      <c r="B32" s="219"/>
      <c r="C32" s="219"/>
      <c r="D32" s="219"/>
      <c r="E32" s="219"/>
      <c r="F32" s="219"/>
      <c r="G32" s="219"/>
      <c r="H32" s="219"/>
      <c r="I32" s="219"/>
      <c r="J32" s="219"/>
      <c r="K32" s="219"/>
      <c r="L32" s="219"/>
      <c r="M32" s="219"/>
      <c r="N32" s="219"/>
      <c r="O32" s="219"/>
      <c r="P32" s="219"/>
      <c r="Q32" s="219"/>
      <c r="R32" s="219"/>
      <c r="S32" s="219"/>
      <c r="T32" s="219"/>
      <c r="U32" s="219"/>
      <c r="V32" s="219"/>
    </row>
    <row r="33" spans="49:54" s="219" customFormat="1" ht="18" customHeight="1" x14ac:dyDescent="0.3">
      <c r="AW33" s="220"/>
      <c r="AX33" s="220"/>
      <c r="AY33" s="220"/>
      <c r="AZ33" s="220"/>
      <c r="BA33" s="220"/>
      <c r="BB33" s="220"/>
    </row>
    <row r="34" spans="49:54" s="219" customFormat="1" ht="18" customHeight="1" x14ac:dyDescent="0.3">
      <c r="AW34" s="220"/>
      <c r="AX34" s="220"/>
      <c r="AY34" s="220"/>
      <c r="AZ34" s="220"/>
      <c r="BA34" s="220"/>
      <c r="BB34" s="220"/>
    </row>
    <row r="35" spans="49:54" s="219" customFormat="1" ht="18" customHeight="1" x14ac:dyDescent="0.3">
      <c r="AW35" s="220"/>
      <c r="AX35" s="220"/>
      <c r="AY35" s="220"/>
      <c r="AZ35" s="220"/>
      <c r="BA35" s="220"/>
      <c r="BB35" s="220"/>
    </row>
    <row r="36" spans="49:54" s="219" customFormat="1" ht="18" customHeight="1" x14ac:dyDescent="0.3">
      <c r="AW36" s="220"/>
      <c r="AX36" s="220"/>
      <c r="AY36" s="220"/>
      <c r="AZ36" s="220"/>
      <c r="BA36" s="220"/>
      <c r="BB36" s="220"/>
    </row>
    <row r="37" spans="49:54" s="219" customFormat="1" ht="18" customHeight="1" x14ac:dyDescent="0.3">
      <c r="AW37" s="220"/>
      <c r="AX37" s="220"/>
      <c r="AY37" s="220"/>
      <c r="AZ37" s="220"/>
      <c r="BA37" s="220"/>
      <c r="BB37" s="220"/>
    </row>
    <row r="38" spans="49:54" s="219" customFormat="1" ht="18" customHeight="1" x14ac:dyDescent="0.3">
      <c r="AW38" s="220"/>
      <c r="AX38" s="220"/>
      <c r="AY38" s="220"/>
      <c r="AZ38" s="220"/>
      <c r="BA38" s="220"/>
      <c r="BB38" s="220"/>
    </row>
    <row r="39" spans="49:54" s="219" customFormat="1" ht="18" customHeight="1" x14ac:dyDescent="0.3">
      <c r="AW39" s="220"/>
      <c r="AX39" s="220"/>
      <c r="AY39" s="220"/>
      <c r="AZ39" s="220"/>
      <c r="BA39" s="220"/>
      <c r="BB39" s="220"/>
    </row>
    <row r="40" spans="49:54" s="219" customFormat="1" x14ac:dyDescent="0.3">
      <c r="AW40" s="220"/>
      <c r="AX40" s="220"/>
      <c r="AY40" s="220"/>
      <c r="AZ40" s="220"/>
      <c r="BA40" s="220"/>
      <c r="BB40" s="220"/>
    </row>
    <row r="41" spans="49:54" s="219" customFormat="1" x14ac:dyDescent="0.3">
      <c r="AW41" s="220"/>
      <c r="AX41" s="220"/>
      <c r="AY41" s="220"/>
      <c r="AZ41" s="220"/>
      <c r="BA41" s="220"/>
      <c r="BB41" s="220"/>
    </row>
    <row r="42" spans="49:54" s="219" customFormat="1" x14ac:dyDescent="0.3">
      <c r="AW42" s="220"/>
      <c r="AX42" s="220"/>
      <c r="AY42" s="220"/>
      <c r="AZ42" s="220"/>
      <c r="BA42" s="220"/>
      <c r="BB42" s="220"/>
    </row>
    <row r="43" spans="49:54" s="219" customFormat="1" x14ac:dyDescent="0.3">
      <c r="AW43" s="220"/>
      <c r="AX43" s="220"/>
      <c r="AY43" s="220"/>
      <c r="AZ43" s="220"/>
      <c r="BA43" s="220"/>
      <c r="BB43" s="220"/>
    </row>
    <row r="44" spans="49:54" s="219" customFormat="1" x14ac:dyDescent="0.3">
      <c r="AW44" s="220"/>
      <c r="AX44" s="220"/>
      <c r="AY44" s="220"/>
      <c r="AZ44" s="220"/>
      <c r="BA44" s="220"/>
      <c r="BB44" s="220"/>
    </row>
    <row r="45" spans="49:54" s="219" customFormat="1" x14ac:dyDescent="0.3">
      <c r="AW45" s="220"/>
      <c r="AX45" s="220"/>
      <c r="AY45" s="220"/>
      <c r="AZ45" s="220"/>
      <c r="BA45" s="220"/>
      <c r="BB45" s="220"/>
    </row>
    <row r="46" spans="49:54" s="219" customFormat="1" x14ac:dyDescent="0.3">
      <c r="AW46" s="220"/>
      <c r="AX46" s="220"/>
      <c r="AY46" s="220"/>
      <c r="AZ46" s="220"/>
      <c r="BA46" s="220"/>
      <c r="BB46" s="220"/>
    </row>
    <row r="47" spans="49:54" s="219" customFormat="1" x14ac:dyDescent="0.3">
      <c r="AW47" s="220"/>
      <c r="AX47" s="220"/>
      <c r="AY47" s="220"/>
      <c r="AZ47" s="220"/>
      <c r="BA47" s="220"/>
      <c r="BB47" s="220"/>
    </row>
    <row r="48" spans="49:54" s="219" customFormat="1" x14ac:dyDescent="0.3">
      <c r="AW48" s="220"/>
      <c r="AX48" s="220"/>
      <c r="AY48" s="220"/>
      <c r="AZ48" s="220"/>
      <c r="BA48" s="220"/>
      <c r="BB48" s="220"/>
    </row>
    <row r="49" spans="49:54" s="219" customFormat="1" x14ac:dyDescent="0.3">
      <c r="AW49" s="220"/>
      <c r="AX49" s="220"/>
      <c r="AY49" s="220"/>
      <c r="AZ49" s="220"/>
      <c r="BA49" s="220"/>
      <c r="BB49" s="220"/>
    </row>
    <row r="50" spans="49:54" s="219" customFormat="1" x14ac:dyDescent="0.3">
      <c r="AW50" s="220"/>
      <c r="AX50" s="220"/>
      <c r="AY50" s="220"/>
      <c r="AZ50" s="220"/>
      <c r="BA50" s="220"/>
      <c r="BB50" s="220"/>
    </row>
    <row r="51" spans="49:54" s="219" customFormat="1" x14ac:dyDescent="0.3">
      <c r="AW51" s="220"/>
      <c r="AX51" s="220"/>
      <c r="AY51" s="220"/>
      <c r="AZ51" s="220"/>
      <c r="BA51" s="220"/>
      <c r="BB51" s="220"/>
    </row>
    <row r="52" spans="49:54" s="219" customFormat="1" x14ac:dyDescent="0.3">
      <c r="AW52" s="220"/>
      <c r="AX52" s="220"/>
      <c r="AY52" s="220"/>
      <c r="AZ52" s="220"/>
      <c r="BA52" s="220"/>
      <c r="BB52" s="220"/>
    </row>
    <row r="53" spans="49:54" s="219" customFormat="1" x14ac:dyDescent="0.3">
      <c r="AW53" s="220"/>
      <c r="AX53" s="220"/>
      <c r="AY53" s="220"/>
      <c r="AZ53" s="220"/>
      <c r="BA53" s="220"/>
      <c r="BB53" s="220"/>
    </row>
    <row r="54" spans="49:54" s="219" customFormat="1" x14ac:dyDescent="0.3">
      <c r="AW54" s="220"/>
      <c r="AX54" s="220"/>
      <c r="AY54" s="220"/>
      <c r="AZ54" s="220"/>
      <c r="BA54" s="220"/>
      <c r="BB54" s="220"/>
    </row>
    <row r="55" spans="49:54" s="219" customFormat="1" x14ac:dyDescent="0.3">
      <c r="AW55" s="220"/>
      <c r="AX55" s="220"/>
      <c r="AY55" s="220"/>
      <c r="AZ55" s="220"/>
      <c r="BA55" s="220"/>
      <c r="BB55" s="220"/>
    </row>
    <row r="56" spans="49:54" s="219" customFormat="1" x14ac:dyDescent="0.3">
      <c r="AW56" s="220"/>
      <c r="AX56" s="220"/>
      <c r="AY56" s="220"/>
      <c r="AZ56" s="220"/>
      <c r="BA56" s="220"/>
      <c r="BB56" s="220"/>
    </row>
    <row r="57" spans="49:54" s="219" customFormat="1" x14ac:dyDescent="0.3">
      <c r="AW57" s="220"/>
      <c r="AX57" s="220"/>
      <c r="AY57" s="220"/>
      <c r="AZ57" s="220"/>
      <c r="BA57" s="220"/>
      <c r="BB57" s="220"/>
    </row>
    <row r="58" spans="49:54" s="219" customFormat="1" x14ac:dyDescent="0.3">
      <c r="AW58" s="220"/>
      <c r="AX58" s="220"/>
      <c r="AY58" s="220"/>
      <c r="AZ58" s="220"/>
      <c r="BA58" s="220"/>
      <c r="BB58" s="220"/>
    </row>
    <row r="59" spans="49:54" s="219" customFormat="1" x14ac:dyDescent="0.3">
      <c r="AW59" s="220"/>
      <c r="AX59" s="220"/>
      <c r="AY59" s="220"/>
      <c r="AZ59" s="220"/>
      <c r="BA59" s="220"/>
      <c r="BB59" s="220"/>
    </row>
    <row r="60" spans="49:54" s="219" customFormat="1" x14ac:dyDescent="0.3">
      <c r="AW60" s="220"/>
      <c r="AX60" s="220"/>
      <c r="AY60" s="220"/>
      <c r="AZ60" s="220"/>
      <c r="BA60" s="220"/>
      <c r="BB60" s="220"/>
    </row>
    <row r="61" spans="49:54" s="219" customFormat="1" x14ac:dyDescent="0.3">
      <c r="AW61" s="220"/>
      <c r="AX61" s="220"/>
      <c r="AY61" s="220"/>
      <c r="AZ61" s="220"/>
      <c r="BA61" s="220"/>
      <c r="BB61" s="220"/>
    </row>
    <row r="62" spans="49:54" s="219" customFormat="1" x14ac:dyDescent="0.3">
      <c r="AW62" s="220"/>
      <c r="AX62" s="220"/>
      <c r="AY62" s="220"/>
      <c r="AZ62" s="220"/>
      <c r="BA62" s="220"/>
      <c r="BB62" s="220"/>
    </row>
    <row r="63" spans="49:54" s="219" customFormat="1" x14ac:dyDescent="0.3">
      <c r="AW63" s="220"/>
      <c r="AX63" s="220"/>
      <c r="AY63" s="220"/>
      <c r="AZ63" s="220"/>
      <c r="BA63" s="220"/>
      <c r="BB63" s="220"/>
    </row>
    <row r="64" spans="49:54" s="219" customFormat="1" x14ac:dyDescent="0.3">
      <c r="AW64" s="220"/>
      <c r="AX64" s="220"/>
      <c r="AY64" s="220"/>
      <c r="AZ64" s="220"/>
      <c r="BA64" s="220"/>
      <c r="BB64" s="220"/>
    </row>
    <row r="65" spans="49:54" s="219" customFormat="1" x14ac:dyDescent="0.3">
      <c r="AW65" s="220"/>
      <c r="AX65" s="220"/>
      <c r="AY65" s="220"/>
      <c r="AZ65" s="220"/>
      <c r="BA65" s="220"/>
      <c r="BB65" s="220"/>
    </row>
    <row r="66" spans="49:54" s="219" customFormat="1" x14ac:dyDescent="0.3">
      <c r="AW66" s="220"/>
      <c r="AX66" s="220"/>
      <c r="AY66" s="220"/>
      <c r="AZ66" s="220"/>
      <c r="BA66" s="220"/>
      <c r="BB66" s="220"/>
    </row>
    <row r="67" spans="49:54" s="219" customFormat="1" x14ac:dyDescent="0.3">
      <c r="AW67" s="220"/>
      <c r="AX67" s="220"/>
      <c r="AY67" s="220"/>
      <c r="AZ67" s="220"/>
      <c r="BA67" s="220"/>
      <c r="BB67" s="220"/>
    </row>
    <row r="68" spans="49:54" s="219" customFormat="1" x14ac:dyDescent="0.3">
      <c r="AW68" s="220"/>
      <c r="AX68" s="220"/>
      <c r="AY68" s="220"/>
      <c r="AZ68" s="220"/>
      <c r="BA68" s="220"/>
      <c r="BB68" s="220"/>
    </row>
    <row r="69" spans="49:54" s="219" customFormat="1" x14ac:dyDescent="0.3">
      <c r="AW69" s="220"/>
      <c r="AX69" s="220"/>
      <c r="AY69" s="220"/>
      <c r="AZ69" s="220"/>
      <c r="BA69" s="220"/>
      <c r="BB69" s="220"/>
    </row>
    <row r="70" spans="49:54" s="219" customFormat="1" x14ac:dyDescent="0.3">
      <c r="AW70" s="220"/>
      <c r="AX70" s="220"/>
      <c r="AY70" s="220"/>
      <c r="AZ70" s="220"/>
      <c r="BA70" s="220"/>
      <c r="BB70" s="220"/>
    </row>
    <row r="71" spans="49:54" s="219" customFormat="1" x14ac:dyDescent="0.3">
      <c r="AW71" s="220"/>
      <c r="AX71" s="220"/>
      <c r="AY71" s="220"/>
      <c r="AZ71" s="220"/>
      <c r="BA71" s="220"/>
      <c r="BB71" s="220"/>
    </row>
    <row r="72" spans="49:54" s="219" customFormat="1" x14ac:dyDescent="0.3">
      <c r="AW72" s="220"/>
      <c r="AX72" s="220"/>
      <c r="AY72" s="220"/>
      <c r="AZ72" s="220"/>
      <c r="BA72" s="220"/>
      <c r="BB72" s="220"/>
    </row>
    <row r="73" spans="49:54" s="219" customFormat="1" x14ac:dyDescent="0.3">
      <c r="AW73" s="220"/>
      <c r="AX73" s="220"/>
      <c r="AY73" s="220"/>
      <c r="AZ73" s="220"/>
      <c r="BA73" s="220"/>
      <c r="BB73" s="220"/>
    </row>
    <row r="74" spans="49:54" s="219" customFormat="1" x14ac:dyDescent="0.3">
      <c r="AW74" s="220"/>
      <c r="AX74" s="220"/>
      <c r="AY74" s="220"/>
      <c r="AZ74" s="220"/>
      <c r="BA74" s="220"/>
      <c r="BB74" s="220"/>
    </row>
    <row r="75" spans="49:54" s="219" customFormat="1" x14ac:dyDescent="0.3">
      <c r="AW75" s="220"/>
      <c r="AX75" s="220"/>
      <c r="AY75" s="220"/>
      <c r="AZ75" s="220"/>
      <c r="BA75" s="220"/>
      <c r="BB75" s="220"/>
    </row>
    <row r="76" spans="49:54" s="219" customFormat="1" x14ac:dyDescent="0.3">
      <c r="AW76" s="220"/>
      <c r="AX76" s="220"/>
      <c r="AY76" s="220"/>
      <c r="AZ76" s="220"/>
      <c r="BA76" s="220"/>
      <c r="BB76" s="220"/>
    </row>
    <row r="77" spans="49:54" s="219" customFormat="1" x14ac:dyDescent="0.3">
      <c r="AW77" s="220"/>
      <c r="AX77" s="220"/>
      <c r="AY77" s="220"/>
      <c r="AZ77" s="220"/>
      <c r="BA77" s="220"/>
      <c r="BB77" s="220"/>
    </row>
    <row r="78" spans="49:54" s="219" customFormat="1" x14ac:dyDescent="0.3">
      <c r="AW78" s="220"/>
      <c r="AX78" s="220"/>
      <c r="AY78" s="220"/>
      <c r="AZ78" s="220"/>
      <c r="BA78" s="220"/>
      <c r="BB78" s="220"/>
    </row>
    <row r="79" spans="49:54" s="219" customFormat="1" x14ac:dyDescent="0.3">
      <c r="AW79" s="220"/>
      <c r="AX79" s="220"/>
      <c r="AY79" s="220"/>
      <c r="AZ79" s="220"/>
      <c r="BA79" s="220"/>
      <c r="BB79" s="220"/>
    </row>
    <row r="80" spans="49:54" s="219" customFormat="1" x14ac:dyDescent="0.3">
      <c r="AW80" s="220"/>
      <c r="AX80" s="220"/>
      <c r="AY80" s="220"/>
      <c r="AZ80" s="220"/>
      <c r="BA80" s="220"/>
      <c r="BB80" s="220"/>
    </row>
    <row r="81" spans="49:54" s="219" customFormat="1" x14ac:dyDescent="0.3">
      <c r="AW81" s="220"/>
      <c r="AX81" s="220"/>
      <c r="AY81" s="220"/>
      <c r="AZ81" s="220"/>
      <c r="BA81" s="220"/>
      <c r="BB81" s="220"/>
    </row>
    <row r="82" spans="49:54" s="219" customFormat="1" x14ac:dyDescent="0.3">
      <c r="AW82" s="220"/>
      <c r="AX82" s="220"/>
      <c r="AY82" s="220"/>
      <c r="AZ82" s="220"/>
      <c r="BA82" s="220"/>
      <c r="BB82" s="220"/>
    </row>
    <row r="83" spans="49:54" s="219" customFormat="1" x14ac:dyDescent="0.3">
      <c r="AW83" s="220"/>
      <c r="AX83" s="220"/>
      <c r="AY83" s="220"/>
      <c r="AZ83" s="220"/>
      <c r="BA83" s="220"/>
      <c r="BB83" s="220"/>
    </row>
    <row r="84" spans="49:54" s="219" customFormat="1" x14ac:dyDescent="0.3">
      <c r="AW84" s="220"/>
      <c r="AX84" s="220"/>
      <c r="AY84" s="220"/>
      <c r="AZ84" s="220"/>
      <c r="BA84" s="220"/>
      <c r="BB84" s="220"/>
    </row>
    <row r="85" spans="49:54" s="219" customFormat="1" x14ac:dyDescent="0.3">
      <c r="AW85" s="220"/>
      <c r="AX85" s="220"/>
      <c r="AY85" s="220"/>
      <c r="AZ85" s="220"/>
      <c r="BA85" s="220"/>
      <c r="BB85" s="220"/>
    </row>
    <row r="86" spans="49:54" s="219" customFormat="1" x14ac:dyDescent="0.3">
      <c r="AW86" s="220"/>
      <c r="AX86" s="220"/>
      <c r="AY86" s="220"/>
      <c r="AZ86" s="220"/>
      <c r="BA86" s="220"/>
      <c r="BB86" s="220"/>
    </row>
    <row r="87" spans="49:54" s="219" customFormat="1" x14ac:dyDescent="0.3">
      <c r="AW87" s="220"/>
      <c r="AX87" s="220"/>
      <c r="AY87" s="220"/>
      <c r="AZ87" s="220"/>
      <c r="BA87" s="220"/>
      <c r="BB87" s="220"/>
    </row>
    <row r="88" spans="49:54" s="219" customFormat="1" x14ac:dyDescent="0.3">
      <c r="AW88" s="220"/>
      <c r="AX88" s="220"/>
      <c r="AY88" s="220"/>
      <c r="AZ88" s="220"/>
      <c r="BA88" s="220"/>
      <c r="BB88" s="220"/>
    </row>
    <row r="89" spans="49:54" s="219" customFormat="1" x14ac:dyDescent="0.3">
      <c r="AW89" s="220"/>
      <c r="AX89" s="220"/>
      <c r="AY89" s="220"/>
      <c r="AZ89" s="220"/>
      <c r="BA89" s="220"/>
      <c r="BB89" s="220"/>
    </row>
  </sheetData>
  <sheetProtection algorithmName="SHA-512" hashValue="8kBzoTXLWc9GOQcrrNMJwxMeNoMTBp0sAb+87wE7T5q0uD+OtIk/Lag3QKoJmGjwRv/NCU/1iRT0CAofDHzihw==" saltValue="u7egwad9jHk2npNqT3bJQw==" spinCount="100000" sheet="1" objects="1" scenarios="1"/>
  <mergeCells count="5">
    <mergeCell ref="B4:J4"/>
    <mergeCell ref="B7:B10"/>
    <mergeCell ref="B12:B13"/>
    <mergeCell ref="B17:B25"/>
    <mergeCell ref="B27:B29"/>
  </mergeCells>
  <conditionalFormatting sqref="J7:J10 J12:J13 J17:J25 J27:J29">
    <cfRule type="cellIs" dxfId="1" priority="1" operator="lessThanOrEqual">
      <formula>4</formula>
    </cfRule>
  </conditionalFormatting>
  <conditionalFormatting sqref="J7:J13 J17:J25 J27:J29">
    <cfRule type="cellIs" dxfId="0" priority="2" operator="greaterThan">
      <formula>4</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5999A-7F7F-41ED-935A-E4FF18DE6E94}">
  <sheetPr>
    <tabColor rgb="FF017CC1"/>
  </sheetPr>
  <dimension ref="A1:AD38"/>
  <sheetViews>
    <sheetView topLeftCell="A7" zoomScale="110" zoomScaleNormal="110" workbookViewId="0">
      <selection activeCell="L6" sqref="L6"/>
    </sheetView>
  </sheetViews>
  <sheetFormatPr defaultColWidth="9.1796875" defaultRowHeight="10.5" x14ac:dyDescent="0.25"/>
  <cols>
    <col min="1" max="1" width="1.453125" style="49" customWidth="1"/>
    <col min="2" max="2" width="21.81640625" style="49" customWidth="1"/>
    <col min="3" max="9" width="9.1796875" style="49"/>
    <col min="10" max="10" width="3.54296875" style="49" customWidth="1"/>
    <col min="11" max="11" width="3.26953125" style="49" customWidth="1"/>
    <col min="12" max="16384" width="9.1796875" style="49"/>
  </cols>
  <sheetData>
    <row r="1" spans="1:19" ht="30" customHeight="1" x14ac:dyDescent="0.25">
      <c r="A1" s="49" t="e" vm="1">
        <v>#VALUE!</v>
      </c>
      <c r="B1" s="49" t="e" vm="1">
        <v>#VALUE!</v>
      </c>
    </row>
    <row r="2" spans="1:19" ht="19.5" customHeight="1" x14ac:dyDescent="0.25">
      <c r="B2" s="132" t="s">
        <v>207</v>
      </c>
      <c r="C2" s="133"/>
      <c r="D2" s="133"/>
      <c r="E2" s="133"/>
      <c r="F2" s="133"/>
      <c r="G2" s="133"/>
      <c r="H2" s="133"/>
      <c r="I2" s="133"/>
      <c r="J2" s="133"/>
      <c r="K2" s="133"/>
      <c r="L2" s="133"/>
      <c r="M2" s="133"/>
      <c r="N2" s="133"/>
      <c r="O2" s="133"/>
      <c r="P2" s="133"/>
      <c r="Q2" s="133"/>
      <c r="R2" s="133"/>
      <c r="S2" s="133"/>
    </row>
    <row r="3" spans="1:19" ht="13.5" x14ac:dyDescent="0.45">
      <c r="B3" s="125" t="s">
        <v>0</v>
      </c>
      <c r="C3" s="125" t="str">
        <f>Instruktioner!E20</f>
        <v>Dalarna</v>
      </c>
      <c r="D3" s="126"/>
      <c r="E3" s="126"/>
      <c r="F3" s="126"/>
      <c r="G3" s="126"/>
      <c r="H3" s="126"/>
      <c r="I3" s="126"/>
      <c r="J3" s="126"/>
      <c r="K3" s="126"/>
      <c r="L3" s="126"/>
      <c r="M3" s="126"/>
      <c r="N3" s="126"/>
      <c r="O3" s="126"/>
      <c r="P3" s="126"/>
      <c r="Q3" s="126"/>
      <c r="R3" s="126"/>
      <c r="S3" s="126"/>
    </row>
    <row r="4" spans="1:19" ht="100.5" customHeight="1" x14ac:dyDescent="0.45">
      <c r="B4" s="375" t="s">
        <v>372</v>
      </c>
      <c r="C4" s="375"/>
      <c r="D4" s="375"/>
      <c r="E4" s="375"/>
      <c r="F4" s="375"/>
      <c r="G4" s="375"/>
      <c r="H4" s="375"/>
      <c r="I4" s="375"/>
      <c r="J4" s="375"/>
      <c r="K4" s="375"/>
      <c r="L4" s="375"/>
      <c r="M4" s="375"/>
      <c r="N4" s="375"/>
      <c r="O4" s="375"/>
      <c r="P4" s="375"/>
      <c r="Q4" s="375"/>
      <c r="R4" s="375"/>
      <c r="S4" s="375"/>
    </row>
    <row r="5" spans="1:19" ht="11.5" x14ac:dyDescent="0.3">
      <c r="E5" s="130"/>
      <c r="F5" s="130"/>
    </row>
    <row r="7" spans="1:19" ht="18" customHeight="1" x14ac:dyDescent="0.25">
      <c r="B7" s="374" t="s">
        <v>204</v>
      </c>
      <c r="C7" s="374"/>
      <c r="D7" s="374"/>
      <c r="E7" s="374"/>
      <c r="F7" s="374"/>
      <c r="G7" s="374"/>
      <c r="H7" s="374"/>
      <c r="I7" s="374"/>
      <c r="J7" s="374"/>
      <c r="K7" s="135"/>
      <c r="L7" s="374" t="s">
        <v>203</v>
      </c>
      <c r="M7" s="374"/>
      <c r="N7" s="374"/>
      <c r="O7" s="374"/>
      <c r="P7" s="374"/>
      <c r="Q7" s="374"/>
      <c r="R7" s="374"/>
      <c r="S7" s="374"/>
    </row>
    <row r="21" spans="22:30" x14ac:dyDescent="0.25">
      <c r="V21" s="261"/>
      <c r="W21" s="261"/>
      <c r="X21" s="261"/>
      <c r="Y21" s="261"/>
      <c r="Z21" s="261"/>
      <c r="AA21" s="261"/>
      <c r="AB21" s="261"/>
      <c r="AC21" s="129"/>
    </row>
    <row r="22" spans="22:30" x14ac:dyDescent="0.25">
      <c r="V22" s="261"/>
      <c r="W22" s="261"/>
      <c r="X22" s="261"/>
      <c r="Y22" s="261"/>
      <c r="Z22" s="261"/>
      <c r="AA22" s="261"/>
      <c r="AB22" s="261"/>
      <c r="AC22" s="129"/>
      <c r="AD22" s="129"/>
    </row>
    <row r="23" spans="22:30" x14ac:dyDescent="0.25">
      <c r="V23" s="261"/>
      <c r="W23" s="261"/>
      <c r="X23" s="261"/>
      <c r="Y23" s="261"/>
      <c r="Z23" s="261"/>
      <c r="AA23" s="261"/>
      <c r="AB23" s="261"/>
      <c r="AC23" s="129"/>
      <c r="AD23" s="129"/>
    </row>
    <row r="24" spans="22:30" x14ac:dyDescent="0.25">
      <c r="V24" s="261"/>
      <c r="W24" s="261"/>
      <c r="X24" s="261"/>
      <c r="Y24" s="261"/>
      <c r="Z24" s="261"/>
      <c r="AA24" s="261"/>
      <c r="AB24" s="261"/>
      <c r="AC24" s="129"/>
      <c r="AD24" s="129"/>
    </row>
    <row r="25" spans="22:30" x14ac:dyDescent="0.25">
      <c r="V25" s="261"/>
      <c r="W25" s="261"/>
      <c r="X25" s="261" t="s">
        <v>143</v>
      </c>
      <c r="Y25" s="261" t="s">
        <v>140</v>
      </c>
      <c r="Z25" s="261" t="s">
        <v>141</v>
      </c>
      <c r="AA25" s="261"/>
      <c r="AB25" s="261"/>
      <c r="AC25" s="129"/>
      <c r="AD25" s="129"/>
    </row>
    <row r="26" spans="22:30" x14ac:dyDescent="0.25">
      <c r="V26" s="261"/>
      <c r="W26" s="261" t="s">
        <v>139</v>
      </c>
      <c r="X26" s="262">
        <f>INDEX('Data - insamling av data'!D6:D27,MATCH('Översikt - Målsatta mått'!D3,'Data - insamling av data'!B6:B27,0))</f>
        <v>377</v>
      </c>
      <c r="Y26" s="262">
        <v>0</v>
      </c>
      <c r="Z26" s="262">
        <f>INDEX('Data - insamling av data'!C6:C27,MATCH('Översikt - Målsatta mått'!D3,'Data - insamling av data'!B6:B27,0))</f>
        <v>414.8189429826744</v>
      </c>
      <c r="AA26" s="261"/>
      <c r="AB26" s="261"/>
      <c r="AC26" s="129"/>
      <c r="AD26" s="129"/>
    </row>
    <row r="27" spans="22:30" x14ac:dyDescent="0.25">
      <c r="V27" s="261"/>
      <c r="W27" s="261" t="s">
        <v>144</v>
      </c>
      <c r="X27" s="262">
        <f>X26</f>
        <v>377</v>
      </c>
      <c r="Y27" s="262">
        <f>INDEX('Data - beräkning av pot vårdpla'!N10:N31,MATCH('Översikt - Målsatta mått'!D3,'Data - beräkning av pot vårdpla'!B10:B31,0))</f>
        <v>63.340878073442795</v>
      </c>
      <c r="Z27" s="262">
        <f>INDEX('Data - insamling av data'!C6:C27,MATCH('Översikt - Målsatta mått'!D3,'Data - insamling av data'!B6:B27,0))</f>
        <v>414.8189429826744</v>
      </c>
      <c r="AA27" s="261"/>
      <c r="AB27" s="261"/>
      <c r="AC27" s="129"/>
      <c r="AD27" s="129"/>
    </row>
    <row r="28" spans="22:30" x14ac:dyDescent="0.25">
      <c r="V28" s="261"/>
      <c r="W28" s="261"/>
      <c r="X28" s="261"/>
      <c r="Y28" s="261"/>
      <c r="Z28" s="261"/>
      <c r="AA28" s="261"/>
      <c r="AB28" s="261"/>
      <c r="AC28" s="129"/>
      <c r="AD28" s="129"/>
    </row>
    <row r="29" spans="22:30" x14ac:dyDescent="0.25">
      <c r="V29" s="261"/>
      <c r="W29" s="261"/>
      <c r="X29" s="261"/>
      <c r="Y29" s="261"/>
      <c r="Z29" s="261"/>
      <c r="AA29" s="261"/>
      <c r="AB29" s="261"/>
      <c r="AC29" s="129"/>
      <c r="AD29" s="129"/>
    </row>
    <row r="30" spans="22:30" x14ac:dyDescent="0.25">
      <c r="V30" s="261"/>
      <c r="W30" s="261"/>
      <c r="X30" s="261" t="s">
        <v>144</v>
      </c>
      <c r="Y30" s="261"/>
      <c r="Z30" s="261"/>
      <c r="AA30" s="261"/>
      <c r="AB30" s="261"/>
      <c r="AC30" s="129"/>
      <c r="AD30" s="129"/>
    </row>
    <row r="31" spans="22:30" x14ac:dyDescent="0.25">
      <c r="V31" s="261"/>
      <c r="W31" s="261" t="s">
        <v>205</v>
      </c>
      <c r="X31" s="263">
        <f>_xlfn.XLOOKUP(C3,'Data - beräkning av pot vårdpla'!B10:B30,'Data - beräkning av pot vårdpla'!O10:O30)</f>
        <v>37.014869669954599</v>
      </c>
      <c r="Y31" s="261"/>
      <c r="Z31" s="261"/>
      <c r="AA31" s="261"/>
      <c r="AB31" s="261"/>
      <c r="AC31" s="129"/>
      <c r="AD31" s="129"/>
    </row>
    <row r="32" spans="22:30" x14ac:dyDescent="0.25">
      <c r="V32" s="261"/>
      <c r="W32" s="261" t="s">
        <v>206</v>
      </c>
      <c r="X32" s="263">
        <f>_xlfn.XLOOKUP(C3,'Data - beräkning av pot vårdpla'!B10:B30,'Data - beräkning av pot vårdpla'!P10:P30)</f>
        <v>26.326008403488192</v>
      </c>
      <c r="Y32" s="261"/>
      <c r="Z32" s="261"/>
      <c r="AA32" s="261"/>
      <c r="AB32" s="261"/>
      <c r="AC32" s="129"/>
      <c r="AD32" s="129"/>
    </row>
    <row r="33" spans="22:30" x14ac:dyDescent="0.25">
      <c r="V33" s="261"/>
      <c r="W33" s="261"/>
      <c r="X33" s="261"/>
      <c r="Y33" s="261"/>
      <c r="Z33" s="261"/>
      <c r="AA33" s="261"/>
      <c r="AB33" s="261"/>
      <c r="AC33" s="129"/>
      <c r="AD33" s="129"/>
    </row>
    <row r="34" spans="22:30" x14ac:dyDescent="0.25">
      <c r="V34" s="261"/>
      <c r="W34" s="261"/>
      <c r="X34" s="261"/>
      <c r="Y34" s="261"/>
      <c r="Z34" s="261"/>
      <c r="AA34" s="261"/>
      <c r="AB34" s="261"/>
      <c r="AC34" s="129"/>
      <c r="AD34" s="129"/>
    </row>
    <row r="35" spans="22:30" x14ac:dyDescent="0.25">
      <c r="V35" s="261"/>
      <c r="W35" s="261"/>
      <c r="X35" s="261"/>
      <c r="Y35" s="261"/>
      <c r="Z35" s="261"/>
      <c r="AA35" s="261"/>
      <c r="AB35" s="261"/>
      <c r="AC35" s="129"/>
      <c r="AD35" s="129"/>
    </row>
    <row r="36" spans="22:30" x14ac:dyDescent="0.25">
      <c r="V36" s="261"/>
      <c r="W36" s="261"/>
      <c r="X36" s="261"/>
      <c r="Y36" s="261"/>
      <c r="Z36" s="261"/>
      <c r="AA36" s="261"/>
      <c r="AB36" s="261"/>
      <c r="AC36" s="129"/>
      <c r="AD36" s="129"/>
    </row>
    <row r="37" spans="22:30" x14ac:dyDescent="0.25">
      <c r="V37" s="261"/>
      <c r="W37" s="261"/>
      <c r="X37" s="261"/>
      <c r="Y37" s="261"/>
      <c r="Z37" s="261"/>
      <c r="AA37" s="261"/>
      <c r="AB37" s="261"/>
      <c r="AC37" s="129"/>
    </row>
    <row r="38" spans="22:30" x14ac:dyDescent="0.25">
      <c r="V38" s="129"/>
      <c r="W38" s="129"/>
      <c r="X38" s="129"/>
      <c r="Y38" s="129"/>
      <c r="Z38" s="129"/>
      <c r="AA38" s="129"/>
      <c r="AB38" s="129"/>
      <c r="AC38" s="129"/>
    </row>
  </sheetData>
  <sheetProtection algorithmName="SHA-512" hashValue="e1jUFMInye5nNRiDRmq5InBMpn1iJqA8PdFq5J2M67CA41v2VxchItoUAwdh97BnGQKgHmqoaY2ZpI4kktvuIg==" saltValue="Nj+i86s3CInXcMxtzBDW0w==" spinCount="100000" sheet="1" objects="1" scenarios="1"/>
  <mergeCells count="3">
    <mergeCell ref="B7:J7"/>
    <mergeCell ref="L7:S7"/>
    <mergeCell ref="B4:S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67CFD-407D-4B17-B1C7-6E5297D241A2}">
  <sheetPr>
    <tabColor rgb="FF00A380"/>
  </sheetPr>
  <dimension ref="B2:X10"/>
  <sheetViews>
    <sheetView workbookViewId="0"/>
  </sheetViews>
  <sheetFormatPr defaultColWidth="9.1796875" defaultRowHeight="10.5" x14ac:dyDescent="0.25"/>
  <cols>
    <col min="1" max="1" width="1.453125" style="49" customWidth="1"/>
    <col min="2" max="2" width="29.7265625" style="49" customWidth="1"/>
    <col min="3" max="3" width="1" style="49" customWidth="1"/>
    <col min="4" max="4" width="13.453125" style="49" customWidth="1"/>
    <col min="5" max="5" width="0.81640625" style="49" customWidth="1"/>
    <col min="6" max="6" width="12.54296875" style="49" customWidth="1"/>
    <col min="7" max="7" width="0.7265625" style="49" customWidth="1"/>
    <col min="8" max="8" width="9.81640625" style="49" customWidth="1"/>
    <col min="9" max="9" width="1.26953125" style="49" customWidth="1"/>
    <col min="10" max="10" width="15.54296875" style="49" customWidth="1"/>
    <col min="11" max="11" width="1.7265625" style="49" customWidth="1"/>
    <col min="12" max="12" width="12.26953125" style="49" customWidth="1"/>
    <col min="13" max="16384" width="9.1796875" style="49"/>
  </cols>
  <sheetData>
    <row r="2" spans="2:24" ht="19.5" customHeight="1" x14ac:dyDescent="0.55000000000000004">
      <c r="B2" s="131" t="s">
        <v>208</v>
      </c>
      <c r="C2" s="131"/>
      <c r="D2" s="136"/>
      <c r="E2" s="136"/>
      <c r="F2" s="136"/>
      <c r="G2" s="136"/>
      <c r="H2" s="136"/>
      <c r="I2" s="136"/>
      <c r="J2" s="136"/>
      <c r="K2" s="136"/>
      <c r="L2" s="136"/>
      <c r="M2" s="136"/>
      <c r="N2" s="136"/>
      <c r="O2" s="136"/>
      <c r="P2" s="136"/>
      <c r="Q2" s="136"/>
      <c r="R2" s="136"/>
      <c r="S2" s="136"/>
      <c r="T2" s="136"/>
      <c r="U2" s="136"/>
      <c r="V2" s="136"/>
      <c r="W2" s="136"/>
      <c r="X2" s="136"/>
    </row>
    <row r="3" spans="2:24" ht="13.5" x14ac:dyDescent="0.45">
      <c r="B3" s="125" t="s">
        <v>209</v>
      </c>
      <c r="C3" s="125"/>
      <c r="D3" s="125" t="str">
        <f>Instruktioner!E20</f>
        <v>Dalarna</v>
      </c>
      <c r="E3" s="125"/>
      <c r="F3" s="126"/>
      <c r="G3" s="126"/>
      <c r="H3" s="126"/>
      <c r="I3" s="126"/>
      <c r="J3" s="126"/>
      <c r="K3" s="126"/>
      <c r="L3" s="126"/>
      <c r="M3" s="126"/>
      <c r="N3" s="126"/>
      <c r="O3" s="126"/>
      <c r="P3" s="126"/>
      <c r="Q3" s="126"/>
      <c r="R3" s="126"/>
      <c r="S3" s="126"/>
      <c r="T3" s="126"/>
      <c r="U3" s="126"/>
      <c r="V3" s="126"/>
      <c r="W3" s="126"/>
      <c r="X3" s="126"/>
    </row>
    <row r="4" spans="2:24" ht="13.5" x14ac:dyDescent="0.45">
      <c r="B4" s="102" t="s">
        <v>210</v>
      </c>
      <c r="C4" s="102"/>
      <c r="H4" s="130"/>
      <c r="I4" s="130"/>
      <c r="J4" s="130"/>
      <c r="K4" s="130"/>
    </row>
    <row r="6" spans="2:24" ht="40.5" x14ac:dyDescent="0.45">
      <c r="B6" s="137" t="s">
        <v>205</v>
      </c>
      <c r="C6" s="137"/>
      <c r="D6" s="137" t="s">
        <v>211</v>
      </c>
      <c r="E6" s="137"/>
      <c r="F6" s="137" t="s">
        <v>212</v>
      </c>
      <c r="G6" s="137"/>
      <c r="H6" s="137" t="s">
        <v>213</v>
      </c>
      <c r="I6" s="137"/>
      <c r="J6" s="137" t="s">
        <v>214</v>
      </c>
      <c r="K6" s="137"/>
      <c r="L6" s="137" t="s">
        <v>263</v>
      </c>
      <c r="M6" s="134"/>
    </row>
    <row r="7" spans="2:24" ht="16.5" customHeight="1" x14ac:dyDescent="0.45">
      <c r="B7" s="102" t="s">
        <v>87</v>
      </c>
      <c r="C7" s="102"/>
      <c r="D7" s="256">
        <f>IF(_xlfn.XLOOKUP(Kapacitetsmått!D3,'Data - insamling av data'!B6:B26,'Data - insamling av data'!AA6:AA26)="","Ingen data",_xlfn.XLOOKUP(Kapacitetsmått!D3,'Data - insamling av data'!B6:B26,'Data - insamling av data'!AA6:AA26))</f>
        <v>5.1374819102749637E-2</v>
      </c>
      <c r="E7" s="257"/>
      <c r="F7" s="256">
        <f>'Data - insamling av data'!AA30</f>
        <v>3.1E-2</v>
      </c>
      <c r="G7" s="257"/>
      <c r="H7" s="258">
        <f>IFERROR(F7-D7,"-")</f>
        <v>-2.0374819102749638E-2</v>
      </c>
      <c r="I7" s="257"/>
      <c r="J7" s="259">
        <f>_xlfn.XLOOKUP(Kapacitetsmått!D3,'Data - insamling av data'!B6:B26,'Data - insamling av data'!AC6:AC26)</f>
        <v>28.158000000000001</v>
      </c>
      <c r="K7" s="257"/>
      <c r="L7" s="259">
        <f>IF(J7&lt;0.5,"",_xlfn.XLOOKUP(D3,'Data - insamling av data'!B6:B26,'Data - insamling av data'!AD6:AD26))</f>
        <v>28.462748464285713</v>
      </c>
    </row>
    <row r="8" spans="2:24" ht="5.25" customHeight="1" x14ac:dyDescent="0.45">
      <c r="B8" s="102"/>
      <c r="C8" s="102"/>
      <c r="D8" s="257"/>
      <c r="E8" s="257"/>
      <c r="F8" s="257"/>
      <c r="G8" s="257"/>
      <c r="H8" s="257"/>
      <c r="I8" s="257"/>
      <c r="J8" s="259"/>
      <c r="K8" s="257"/>
      <c r="L8" s="260"/>
    </row>
    <row r="9" spans="2:24" ht="13.5" x14ac:dyDescent="0.45">
      <c r="B9" s="102" t="s">
        <v>88</v>
      </c>
      <c r="C9" s="102"/>
      <c r="D9" s="256">
        <f>_xlfn.XLOOKUP(D3,'Data - insamling av data'!B6:B26,'Data - insamling av data'!AG6:AG26)</f>
        <v>7.1397474967348704E-2</v>
      </c>
      <c r="E9" s="257"/>
      <c r="F9" s="256">
        <f>'Data - insamling av data'!AG30</f>
        <v>6.3745019920318807E-2</v>
      </c>
      <c r="G9" s="257"/>
      <c r="H9" s="258">
        <f>F9-D9</f>
        <v>-7.6524550470298963E-3</v>
      </c>
      <c r="I9" s="257"/>
      <c r="J9" s="259">
        <f>_xlfn.XLOOKUP(D3,'Data - insamling av data'!B6:B26,'Data - insamling av data'!AI6:AI26)</f>
        <v>10.575692874995326</v>
      </c>
      <c r="K9" s="257"/>
      <c r="L9" s="259">
        <f>IF(J9&lt;0.5,"",_xlfn.XLOOKUP(D3,'Data - insamling av data'!B6:B26,'Data - insamling av data'!AJ6:AJ26))</f>
        <v>8.552121205668886</v>
      </c>
    </row>
    <row r="10" spans="2:24" ht="13.5" x14ac:dyDescent="0.45">
      <c r="B10" s="102"/>
      <c r="C10" s="102"/>
      <c r="D10" s="102"/>
      <c r="E10" s="102"/>
      <c r="F10" s="102"/>
      <c r="G10" s="102"/>
      <c r="H10" s="102"/>
      <c r="I10" s="102"/>
      <c r="J10" s="102"/>
      <c r="K10" s="102"/>
      <c r="L10" s="102"/>
    </row>
  </sheetData>
  <sheetProtection algorithmName="SHA-512" hashValue="JRjf5h8YU/VRGK4HwxAyEezTjdqEzzEu51c8xYPUQXMTDsR/1FjeyNCt0EZoP67L34J7oli8kf2M0sEI+AM+Hg==" saltValue="t3YVTKx9Gn4wjp4T8WNXKw==" spinCount="100000" sheet="1" objects="1" scenarios="1"/>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65175-8197-43F8-90D1-D11A7A56D8AE}">
  <sheetPr>
    <tabColor rgb="FF00A380"/>
  </sheetPr>
  <dimension ref="B2:M21"/>
  <sheetViews>
    <sheetView zoomScaleNormal="100" workbookViewId="0">
      <selection activeCell="D13" sqref="D13"/>
    </sheetView>
  </sheetViews>
  <sheetFormatPr defaultColWidth="9.1796875" defaultRowHeight="10.5" x14ac:dyDescent="0.25"/>
  <cols>
    <col min="1" max="1" width="1.453125" style="49" customWidth="1"/>
    <col min="2" max="2" width="72.7265625" style="49" customWidth="1"/>
    <col min="3" max="3" width="1" style="49" customWidth="1"/>
    <col min="4" max="4" width="13.453125" style="49" customWidth="1"/>
    <col min="5" max="5" width="0.81640625" style="49" customWidth="1"/>
    <col min="6" max="6" width="12.54296875" style="49" customWidth="1"/>
    <col min="7" max="7" width="0.7265625" style="49" customWidth="1"/>
    <col min="8" max="8" width="9.81640625" style="49" customWidth="1"/>
    <col min="9" max="9" width="1.26953125" style="49" customWidth="1"/>
    <col min="10" max="10" width="15.54296875" style="49" customWidth="1"/>
    <col min="11" max="11" width="1.7265625" style="49" customWidth="1"/>
    <col min="12" max="12" width="12.26953125" style="49" customWidth="1"/>
    <col min="13" max="16384" width="9.1796875" style="49"/>
  </cols>
  <sheetData>
    <row r="2" spans="2:13" ht="19.5" customHeight="1" x14ac:dyDescent="0.55000000000000004">
      <c r="B2" s="131" t="s">
        <v>215</v>
      </c>
      <c r="C2" s="131"/>
      <c r="D2" s="136"/>
      <c r="E2" s="136"/>
      <c r="F2" s="136"/>
      <c r="G2" s="136"/>
      <c r="H2" s="136"/>
      <c r="I2" s="136"/>
      <c r="J2" s="136"/>
      <c r="K2" s="136"/>
      <c r="L2" s="136"/>
    </row>
    <row r="3" spans="2:13" ht="13.5" x14ac:dyDescent="0.45">
      <c r="B3" s="125" t="s">
        <v>209</v>
      </c>
      <c r="C3" s="125"/>
      <c r="D3" s="125" t="str">
        <f>Instruktioner!E20</f>
        <v>Dalarna</v>
      </c>
      <c r="E3" s="125"/>
      <c r="F3" s="126"/>
      <c r="G3" s="126"/>
      <c r="H3" s="126"/>
      <c r="I3" s="126"/>
      <c r="J3" s="126"/>
      <c r="K3" s="126"/>
      <c r="L3" s="126"/>
    </row>
    <row r="4" spans="2:13" ht="13.5" x14ac:dyDescent="0.45">
      <c r="B4" s="102" t="s">
        <v>216</v>
      </c>
      <c r="C4" s="102"/>
      <c r="H4" s="130"/>
      <c r="I4" s="130"/>
      <c r="J4" s="130"/>
      <c r="K4" s="130"/>
    </row>
    <row r="6" spans="2:13" ht="40.5" x14ac:dyDescent="0.45">
      <c r="B6" s="137" t="s">
        <v>206</v>
      </c>
      <c r="C6" s="137"/>
      <c r="D6" s="137" t="s">
        <v>211</v>
      </c>
      <c r="E6" s="137"/>
      <c r="F6" s="137" t="s">
        <v>212</v>
      </c>
      <c r="G6" s="137"/>
      <c r="H6" s="137" t="s">
        <v>213</v>
      </c>
      <c r="I6" s="137"/>
      <c r="J6" s="137" t="s">
        <v>219</v>
      </c>
      <c r="K6" s="137"/>
      <c r="L6" s="137" t="s">
        <v>263</v>
      </c>
      <c r="M6" s="134"/>
    </row>
    <row r="7" spans="2:13" ht="16.5" customHeight="1" x14ac:dyDescent="0.45">
      <c r="B7" s="102" t="s">
        <v>92</v>
      </c>
      <c r="C7" s="102"/>
      <c r="D7" s="256">
        <f>_xlfn.XLOOKUP(D3,'Data - insamling av data'!B6:B26,'Data - insamling av data'!AO6:AO26)</f>
        <v>0.1383882328568469</v>
      </c>
      <c r="E7" s="257"/>
      <c r="F7" s="256">
        <f>'Data - insamling av data'!AO30</f>
        <v>0.12279117032687856</v>
      </c>
      <c r="G7" s="257"/>
      <c r="H7" s="258">
        <f>F7-D7</f>
        <v>-1.5597062529968342E-2</v>
      </c>
      <c r="I7" s="257"/>
      <c r="J7" s="264">
        <f>IF(_xlfn.XLOOKUP(D3,'Data - insamling av data'!B6:B26,'Data - insamling av data'!AR6:AR26)&lt;0,"",_xlfn.XLOOKUP(D3,'Data - insamling av data'!B6:B26,'Data - insamling av data'!AR6:AR26))</f>
        <v>301.14808332862867</v>
      </c>
      <c r="K7" s="264"/>
      <c r="L7" s="264">
        <f>IF(_xlfn.XLOOKUP(D3,'Data - insamling av data'!B6:B26,'Data - insamling av data'!AS6:AS26)&lt;0.5,"",_xlfn.XLOOKUP(D3,'Data - insamling av data'!B6:B26,'Data - insamling av data'!AS6:AS26))</f>
        <v>5.4487522336323737</v>
      </c>
    </row>
    <row r="8" spans="2:13" ht="5.25" customHeight="1" x14ac:dyDescent="0.45">
      <c r="B8" s="102"/>
      <c r="C8" s="102"/>
      <c r="D8" s="256"/>
      <c r="E8" s="257"/>
      <c r="F8" s="257"/>
      <c r="G8" s="257"/>
      <c r="H8" s="258"/>
      <c r="I8" s="257"/>
      <c r="J8" s="264"/>
      <c r="K8" s="257"/>
      <c r="L8" s="257"/>
    </row>
    <row r="9" spans="2:13" ht="13.5" x14ac:dyDescent="0.45">
      <c r="B9" s="102" t="s">
        <v>93</v>
      </c>
      <c r="C9" s="102"/>
      <c r="D9" s="256">
        <f>_xlfn.XLOOKUP(D3,'Data - insamling av data'!B6:B26,'Data - insamling av data'!AU6:AU26)</f>
        <v>0.10109265346006929</v>
      </c>
      <c r="E9" s="257"/>
      <c r="F9" s="256">
        <f>'Data - insamling av data'!AU30</f>
        <v>8.6999999999999994E-2</v>
      </c>
      <c r="G9" s="257"/>
      <c r="H9" s="258">
        <f t="shared" ref="H9:H21" si="0">F9-D9</f>
        <v>-1.4092653460069299E-2</v>
      </c>
      <c r="I9" s="257"/>
      <c r="J9" s="264">
        <f>IF(_xlfn.XLOOKUP(D3,'Data - insamling av data'!B6:B26,'Data - insamling av data'!AX6:AX26)&lt;0,"",_xlfn.XLOOKUP(D3,'Data - insamling av data'!B6:B26,'Data - insamling av data'!AX6:AX26))</f>
        <v>158.64100000000008</v>
      </c>
      <c r="K9" s="257"/>
      <c r="L9" s="264">
        <f>IF(_xlfn.XLOOKUP(D3,'Data - insamling av data'!B6:B26,'Data - insamling av data'!AY6:AY26)&lt;0.5,"",_xlfn.XLOOKUP(D3,'Data - insamling av data'!B6:B26,'Data - insamling av data'!AY6:AY26))</f>
        <v>2.2594798757734078</v>
      </c>
    </row>
    <row r="10" spans="2:13" ht="5.25" customHeight="1" x14ac:dyDescent="0.45">
      <c r="B10" s="102"/>
      <c r="C10" s="102"/>
      <c r="D10" s="256"/>
      <c r="E10" s="257"/>
      <c r="F10" s="257"/>
      <c r="G10" s="257"/>
      <c r="H10" s="258"/>
      <c r="I10" s="257"/>
      <c r="J10" s="257"/>
      <c r="K10" s="257"/>
      <c r="L10" s="257"/>
    </row>
    <row r="11" spans="2:13" ht="13.5" x14ac:dyDescent="0.45">
      <c r="B11" s="102" t="s">
        <v>124</v>
      </c>
      <c r="C11" s="102"/>
      <c r="D11" s="256">
        <f>_xlfn.XLOOKUP(D3,'Data - insamling av data'!B6:B26,'Data - insamling av data'!AK6:AK26)</f>
        <v>2.6764703828616516E-2</v>
      </c>
      <c r="E11" s="257"/>
      <c r="F11" s="256">
        <f>'Data - insamling av data'!AK30</f>
        <v>1.1393237211647299E-2</v>
      </c>
      <c r="G11" s="257"/>
      <c r="H11" s="258">
        <f t="shared" si="0"/>
        <v>-1.5371466616969217E-2</v>
      </c>
      <c r="I11" s="257"/>
      <c r="J11" s="340">
        <f>IF(_xlfn.XLOOKUP(D3,'Data - insamling av data'!B6:B26,'Data - insamling av data'!AM6:AM26)&lt;0,"",_xlfn.XLOOKUP(D3,'Data - insamling av data'!B6:B26,'Data - insamling av data'!AM6:AM26))</f>
        <v>6.0311317963911737</v>
      </c>
      <c r="K11" s="257"/>
      <c r="L11" s="264">
        <f>IF(_xlfn.XLOOKUP(D3,'Data - insamling av data'!B6:B26,'Data - insamling av data'!AM6:AM26)&lt;0.5,"",_xlfn.XLOOKUP(D3,'Data - insamling av data'!B6:B26,'Data - insamling av data'!AM6:AM26))</f>
        <v>6.0311317963911737</v>
      </c>
    </row>
    <row r="12" spans="2:13" ht="5.25" customHeight="1" x14ac:dyDescent="0.45">
      <c r="B12" s="102"/>
      <c r="C12" s="102"/>
      <c r="D12" s="257"/>
      <c r="E12" s="257"/>
      <c r="F12" s="257"/>
      <c r="G12" s="257"/>
      <c r="H12" s="258"/>
      <c r="I12" s="257"/>
      <c r="J12" s="264"/>
      <c r="K12" s="257"/>
      <c r="L12" s="264"/>
    </row>
    <row r="13" spans="2:13" ht="13.5" x14ac:dyDescent="0.45">
      <c r="B13" s="102" t="s">
        <v>94</v>
      </c>
      <c r="C13" s="102"/>
      <c r="D13" s="264">
        <f>_xlfn.XLOOKUP(D3,'Data - insamling av data'!B6:B26,'Data - insamling av data'!BB6:BB26)</f>
        <v>4093.2462107010874</v>
      </c>
      <c r="E13" s="257"/>
      <c r="F13" s="264">
        <f>'Data - insamling av data'!BB30</f>
        <v>3725.3421734991957</v>
      </c>
      <c r="G13" s="257"/>
      <c r="H13" s="265">
        <f t="shared" si="0"/>
        <v>-367.9040372018917</v>
      </c>
      <c r="I13" s="257"/>
      <c r="J13" s="264">
        <f>IF(_xlfn.XLOOKUP(D3,'Data - insamling av data'!B6:B26,'Data - insamling av data'!BD6:BD26)&lt;0,"",_xlfn.XLOOKUP(D3,'Data - insamling av data'!B6:B26,'Data - insamling av data'!BD6:BD26))</f>
        <v>274.76545114386045</v>
      </c>
      <c r="K13" s="257"/>
      <c r="L13" s="264">
        <f>IF(_xlfn.XLOOKUP(D3,'Data - insamling av data'!B6:B26,'Data - insamling av data'!BE6:BE26)&lt;0.5,"",_xlfn.XLOOKUP(D3,'Data - insamling av data'!B6:B26,'Data - insamling av data'!BE6:BE26))</f>
        <v>3.3857199864668854</v>
      </c>
    </row>
    <row r="14" spans="2:13" ht="5.25" customHeight="1" x14ac:dyDescent="0.45">
      <c r="B14" s="102"/>
      <c r="C14" s="102"/>
      <c r="D14" s="257"/>
      <c r="E14" s="257"/>
      <c r="F14" s="257"/>
      <c r="G14" s="257"/>
      <c r="H14" s="265"/>
      <c r="I14" s="257"/>
      <c r="J14" s="264"/>
      <c r="K14" s="257"/>
      <c r="L14" s="264"/>
    </row>
    <row r="15" spans="2:13" ht="13.5" x14ac:dyDescent="0.45">
      <c r="B15" s="102" t="s">
        <v>95</v>
      </c>
      <c r="C15" s="102"/>
      <c r="D15" s="264">
        <f>_xlfn.XLOOKUP(D3,'Data - insamling av data'!B6:B26,'Data - insamling av data'!BH6:BH26)</f>
        <v>1765.2298307646631</v>
      </c>
      <c r="E15" s="257"/>
      <c r="F15" s="264">
        <f>'Data - insamling av data'!BH30</f>
        <v>1472.6809843984595</v>
      </c>
      <c r="G15" s="257"/>
      <c r="H15" s="265">
        <f t="shared" si="0"/>
        <v>-292.54884636620363</v>
      </c>
      <c r="I15" s="257"/>
      <c r="J15" s="264">
        <f>IF(_xlfn.XLOOKUP(D3,'Data - insamling av data'!B6:B26,'Data - insamling av data'!BJ6:BJ26)&lt;0,"",_xlfn.XLOOKUP(D3,'Data - insamling av data'!B6:B26,'Data - insamling av data'!BJ6:BJ26))</f>
        <v>216.7728441804295</v>
      </c>
      <c r="K15" s="257"/>
      <c r="L15" s="264">
        <f>IF(_xlfn.XLOOKUP(D3,'Data - insamling av data'!B6:B26,'Data - insamling av data'!BK6:BK26)&lt;0.5,"",_xlfn.XLOOKUP(D3,'Data - insamling av data'!B6:B26,'Data - insamling av data'!BK6:BK26))</f>
        <v>2.6489312826203881</v>
      </c>
    </row>
    <row r="16" spans="2:13" ht="5.25" customHeight="1" x14ac:dyDescent="0.45">
      <c r="B16" s="102"/>
      <c r="C16" s="102"/>
      <c r="D16" s="257"/>
      <c r="E16" s="257"/>
      <c r="F16" s="257"/>
      <c r="G16" s="257"/>
      <c r="H16" s="265"/>
      <c r="I16" s="257"/>
      <c r="J16" s="264"/>
      <c r="K16" s="257"/>
      <c r="L16" s="264"/>
    </row>
    <row r="17" spans="2:12" ht="13.5" x14ac:dyDescent="0.45">
      <c r="B17" s="102" t="s">
        <v>218</v>
      </c>
      <c r="C17" s="102"/>
      <c r="D17" s="264">
        <f>_xlfn.XLOOKUP(D3,'Data - insamling av data'!B6:B26,'Data - insamling av data'!BN6:BN26)</f>
        <v>130.272704194113</v>
      </c>
      <c r="E17" s="257"/>
      <c r="F17" s="264">
        <f>'Data - insamling av data'!BN30</f>
        <v>102.17557894965678</v>
      </c>
      <c r="G17" s="257"/>
      <c r="H17" s="265">
        <f t="shared" si="0"/>
        <v>-28.097125244456223</v>
      </c>
      <c r="I17" s="257"/>
      <c r="J17" s="264">
        <f>IF(_xlfn.XLOOKUP(D3,'Data - insamling av data'!B6:B26,'Data - insamling av data'!BP6:BP26)&lt;0,"",_xlfn.XLOOKUP(D3,'Data - insamling av data'!B6:B26,'Data - insamling av data'!BP6:BP26))</f>
        <v>42.057462893416755</v>
      </c>
      <c r="K17" s="257"/>
      <c r="L17" s="264" t="str">
        <f>IF(_xlfn.XLOOKUP(D3,'Data - insamling av data'!B6:B26,'Data - insamling av data'!BQ6:BQ26)&lt;0.5,"",_xlfn.XLOOKUP(D3,'Data - insamling av data'!B6:B26,'Data - insamling av data'!BQ6:BQ26))</f>
        <v/>
      </c>
    </row>
    <row r="18" spans="2:12" ht="5.25" customHeight="1" x14ac:dyDescent="0.45">
      <c r="B18" s="102"/>
      <c r="C18" s="102"/>
      <c r="D18" s="257"/>
      <c r="E18" s="257"/>
      <c r="F18" s="257"/>
      <c r="G18" s="257"/>
      <c r="H18" s="258"/>
      <c r="I18" s="257"/>
      <c r="J18" s="264"/>
      <c r="K18" s="257"/>
      <c r="L18" s="264"/>
    </row>
    <row r="19" spans="2:12" ht="13.5" x14ac:dyDescent="0.45">
      <c r="B19" s="102" t="s">
        <v>97</v>
      </c>
      <c r="C19" s="102"/>
      <c r="D19" s="256">
        <f>_xlfn.XLOOKUP(D3,'Data - insamling av data'!B6:B26,'Data - insamling av data'!BT6:BT26)</f>
        <v>2.89616453885395E-2</v>
      </c>
      <c r="E19" s="257"/>
      <c r="F19" s="256">
        <f>'Data - insamling av data'!BT30</f>
        <v>2.3559604773514691E-2</v>
      </c>
      <c r="G19" s="257"/>
      <c r="H19" s="258">
        <f t="shared" si="0"/>
        <v>-5.4020406150248092E-3</v>
      </c>
      <c r="I19" s="257"/>
      <c r="J19" s="264">
        <f>IF(_xlfn.XLOOKUP(D3,'Data - insamling av data'!B6:B26,'Data - insamling av data'!BV6:BV26)&lt;0,"",_xlfn.XLOOKUP(D3,'Data - insamling av data'!B6:B26,'Data - insamling av data'!BV6:BV26))</f>
        <v>400.28040549210846</v>
      </c>
      <c r="K19" s="257"/>
      <c r="L19" s="264">
        <f>IF(_xlfn.XLOOKUP(D3,'Data - insamling av data'!B6:B26,'Data - insamling av data'!BW6:BW26)&lt;0.5,"",_xlfn.XLOOKUP(D3,'Data - insamling av data'!B6:B26,'Data - insamling av data'!BW6:BW26))</f>
        <v>8.7364753951832483</v>
      </c>
    </row>
    <row r="20" spans="2:12" ht="5.25" customHeight="1" x14ac:dyDescent="0.45">
      <c r="B20" s="102"/>
      <c r="C20" s="102"/>
      <c r="D20" s="257"/>
      <c r="E20" s="257"/>
      <c r="F20" s="257"/>
      <c r="G20" s="257"/>
      <c r="H20" s="258"/>
      <c r="I20" s="257"/>
      <c r="J20" s="264"/>
      <c r="K20" s="257"/>
      <c r="L20" s="264"/>
    </row>
    <row r="21" spans="2:12" ht="13.5" x14ac:dyDescent="0.45">
      <c r="B21" s="102" t="s">
        <v>101</v>
      </c>
      <c r="C21" s="102"/>
      <c r="D21" s="256">
        <f>_xlfn.XLOOKUP(Behovsmått!D3,'Data - insamling av data'!B6:B26,'Data - insamling av data'!BY6:BY26)</f>
        <v>3.216666666666667E-2</v>
      </c>
      <c r="E21" s="257"/>
      <c r="F21" s="256">
        <f>'Data - insamling av data'!BY30</f>
        <v>4.7000000000000007E-2</v>
      </c>
      <c r="G21" s="257"/>
      <c r="H21" s="258">
        <f t="shared" si="0"/>
        <v>1.4833333333333337E-2</v>
      </c>
      <c r="I21" s="257"/>
      <c r="J21" s="264" t="str">
        <f>IF(_xlfn.XLOOKUP(D3,'Data - insamling av data'!B6:B26,'Data - insamling av data'!CB6:CB26)&lt;0,"",_xlfn.XLOOKUP(D3,'Data - insamling av data'!B6:B26,'Data - insamling av data'!CB6:CB26))</f>
        <v/>
      </c>
      <c r="K21" s="257"/>
      <c r="L21" s="264" t="str">
        <f>IF(_xlfn.XLOOKUP(D3,'Data - insamling av data'!B6:B26,'Data - insamling av data'!CC6:CC26)&lt;0.5,"",_xlfn.XLOOKUP(D3,'Data - insamling av data'!B6:B26,'Data - insamling av data'!CC6:CC26))</f>
        <v/>
      </c>
    </row>
  </sheetData>
  <sheetProtection algorithmName="SHA-512" hashValue="0sH3ILfAep0j4pbMNoLQmGmJBLK0efwv4g6J8dtgNAIbE4zg8FJEVD1H9GRZYQvofKJNKn4ofoNlbi+6yQGDPA==" saltValue="+x2khsXZXHknJOU1vqyNXQ==" spinCount="100000" sheet="1" objects="1" scenarios="1"/>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28418-1C4C-45D1-AD38-DC49298850AD}">
  <sheetPr>
    <tabColor rgb="FFECB94F"/>
  </sheetPr>
  <dimension ref="A1:Q145"/>
  <sheetViews>
    <sheetView showGridLines="0" topLeftCell="A29" zoomScaleNormal="100" workbookViewId="0">
      <selection activeCell="G68" sqref="G68:H68"/>
    </sheetView>
  </sheetViews>
  <sheetFormatPr defaultColWidth="8" defaultRowHeight="13.5" outlineLevelRow="1" x14ac:dyDescent="0.45"/>
  <cols>
    <col min="1" max="1" width="37.7265625" style="50" customWidth="1"/>
    <col min="2" max="2" width="2.54296875" style="50" customWidth="1"/>
    <col min="3" max="3" width="8" style="50"/>
    <col min="4" max="4" width="39.54296875" style="50" customWidth="1"/>
    <col min="5" max="5" width="23.7265625" style="50" customWidth="1"/>
    <col min="6" max="6" width="20.08984375" style="50" customWidth="1"/>
    <col min="7" max="7" width="10.81640625" style="50" customWidth="1"/>
    <col min="8" max="8" width="30" style="50" customWidth="1"/>
    <col min="9" max="9" width="13" style="50" customWidth="1"/>
    <col min="10" max="10" width="9" style="50" customWidth="1"/>
    <col min="11" max="11" width="8" style="50"/>
    <col min="12" max="12" width="8" style="50" customWidth="1"/>
    <col min="13" max="13" width="8" style="50"/>
    <col min="14" max="14" width="30" style="50" customWidth="1"/>
    <col min="15" max="15" width="10.7265625" style="50" customWidth="1"/>
    <col min="16" max="16384" width="8" style="50"/>
  </cols>
  <sheetData>
    <row r="1" spans="1:12" ht="40" hidden="1" x14ac:dyDescent="0.75">
      <c r="A1" s="140" t="s">
        <v>264</v>
      </c>
      <c r="B1" s="141"/>
      <c r="E1" s="142"/>
    </row>
    <row r="2" spans="1:12" ht="23" hidden="1" x14ac:dyDescent="0.75">
      <c r="A2" s="143" t="str">
        <f>Instruktioner!E20</f>
        <v>Dalarna</v>
      </c>
      <c r="B2" s="144"/>
    </row>
    <row r="3" spans="1:12" hidden="1" x14ac:dyDescent="0.45"/>
    <row r="4" spans="1:12" hidden="1" x14ac:dyDescent="0.45"/>
    <row r="5" spans="1:12" ht="14.5" hidden="1" x14ac:dyDescent="0.5">
      <c r="A5" s="145"/>
      <c r="B5" s="145"/>
      <c r="L5" s="146">
        <f>H23</f>
        <v>17.244598195343144</v>
      </c>
    </row>
    <row r="6" spans="1:12" ht="14.5" hidden="1" x14ac:dyDescent="0.5">
      <c r="A6" s="145"/>
      <c r="B6" s="145"/>
    </row>
    <row r="7" spans="1:12" ht="14.5" hidden="1" customHeight="1" x14ac:dyDescent="0.5">
      <c r="A7" s="145"/>
      <c r="B7" s="145"/>
      <c r="D7" s="217" t="s">
        <v>265</v>
      </c>
      <c r="H7" s="416" t="s">
        <v>266</v>
      </c>
      <c r="I7" s="416"/>
    </row>
    <row r="8" spans="1:12" ht="14.5" hidden="1" customHeight="1" x14ac:dyDescent="0.5">
      <c r="A8" s="145"/>
      <c r="B8" s="145"/>
    </row>
    <row r="9" spans="1:12" ht="14.5" hidden="1" x14ac:dyDescent="0.5">
      <c r="A9" s="145"/>
      <c r="B9" s="145"/>
    </row>
    <row r="10" spans="1:12" ht="14.5" hidden="1" x14ac:dyDescent="0.5">
      <c r="A10" s="145"/>
      <c r="B10" s="145"/>
    </row>
    <row r="11" spans="1:12" s="102" customFormat="1" ht="16.5" hidden="1" x14ac:dyDescent="0.55000000000000004">
      <c r="A11" s="148"/>
      <c r="B11" s="148"/>
      <c r="D11" s="149" t="s">
        <v>321</v>
      </c>
      <c r="H11" s="149" t="s">
        <v>281</v>
      </c>
    </row>
    <row r="12" spans="1:12" s="102" customFormat="1" ht="20" hidden="1" x14ac:dyDescent="0.65">
      <c r="A12" s="150"/>
      <c r="B12" s="148"/>
      <c r="D12" s="151">
        <f>G21</f>
        <v>18.237193783832481</v>
      </c>
      <c r="H12" s="151">
        <f>G20</f>
        <v>36.826347394185049</v>
      </c>
    </row>
    <row r="13" spans="1:12" s="102" customFormat="1" ht="16.5" hidden="1" x14ac:dyDescent="0.55000000000000004">
      <c r="A13" s="148"/>
      <c r="B13" s="148"/>
      <c r="D13" s="152" t="s">
        <v>322</v>
      </c>
      <c r="H13" s="149" t="s">
        <v>373</v>
      </c>
    </row>
    <row r="14" spans="1:12" s="102" customFormat="1" ht="20" hidden="1" x14ac:dyDescent="0.65">
      <c r="A14" s="148"/>
      <c r="B14" s="148"/>
      <c r="D14" s="151">
        <f>G24</f>
        <v>414.8189429826744</v>
      </c>
      <c r="H14" s="151">
        <f>H35</f>
        <v>377</v>
      </c>
    </row>
    <row r="15" spans="1:12" s="102" customFormat="1" ht="15" hidden="1" x14ac:dyDescent="0.5">
      <c r="A15" s="148"/>
      <c r="B15" s="148"/>
      <c r="C15" s="147"/>
      <c r="D15" s="153" t="s">
        <v>323</v>
      </c>
      <c r="E15" s="147"/>
      <c r="F15" s="147"/>
      <c r="G15" s="147"/>
      <c r="H15" s="154" t="s">
        <v>324</v>
      </c>
      <c r="I15" s="147"/>
    </row>
    <row r="16" spans="1:12" s="102" customFormat="1" ht="23" hidden="1" x14ac:dyDescent="0.75">
      <c r="A16" s="148"/>
      <c r="B16" s="148"/>
      <c r="C16" s="147"/>
      <c r="D16" s="155">
        <f>G25</f>
        <v>396.58174919884192</v>
      </c>
      <c r="E16" s="147"/>
      <c r="F16" s="147"/>
      <c r="G16" s="147"/>
      <c r="H16" s="155">
        <f>G23</f>
        <v>413.82634739418506</v>
      </c>
      <c r="I16" s="147"/>
    </row>
    <row r="17" spans="1:14" s="102" customFormat="1" ht="22.5" hidden="1" customHeight="1" x14ac:dyDescent="0.65">
      <c r="A17" s="148"/>
      <c r="B17" s="148"/>
      <c r="C17" s="156"/>
      <c r="D17" s="432" t="s">
        <v>325</v>
      </c>
      <c r="E17" s="432"/>
      <c r="F17" s="432"/>
      <c r="G17" s="432"/>
      <c r="H17" s="432"/>
      <c r="I17" s="158"/>
    </row>
    <row r="18" spans="1:14" s="102" customFormat="1" ht="24.65" hidden="1" customHeight="1" x14ac:dyDescent="0.65">
      <c r="A18" s="148"/>
      <c r="B18" s="148"/>
      <c r="C18" s="156"/>
      <c r="D18" s="157"/>
      <c r="E18" s="432">
        <f>H16-D16</f>
        <v>17.244598195343144</v>
      </c>
      <c r="F18" s="432"/>
      <c r="G18" s="157"/>
      <c r="H18" s="157"/>
      <c r="I18" s="158"/>
    </row>
    <row r="19" spans="1:14" ht="27" hidden="1" outlineLevel="1" x14ac:dyDescent="0.9">
      <c r="A19" s="159"/>
      <c r="B19" s="159"/>
      <c r="C19" s="431" t="s">
        <v>267</v>
      </c>
      <c r="D19" s="431"/>
      <c r="E19" s="156"/>
      <c r="F19" s="156"/>
      <c r="G19" s="156"/>
      <c r="H19" s="156"/>
      <c r="I19" s="158"/>
      <c r="J19" s="102"/>
      <c r="K19" s="102"/>
      <c r="L19" s="102"/>
      <c r="M19" s="102"/>
      <c r="N19" s="102"/>
    </row>
    <row r="20" spans="1:14" ht="20" hidden="1" outlineLevel="1" x14ac:dyDescent="0.65">
      <c r="A20" s="160"/>
      <c r="B20" s="160"/>
      <c r="C20" s="161"/>
      <c r="D20" s="424" t="s">
        <v>268</v>
      </c>
      <c r="E20" s="425"/>
      <c r="F20" s="425"/>
      <c r="G20" s="162">
        <f>(G47)-(-G53)</f>
        <v>36.826347394185049</v>
      </c>
      <c r="H20" s="156"/>
      <c r="I20" s="158"/>
      <c r="J20" s="102"/>
      <c r="K20" s="102"/>
      <c r="L20" s="102"/>
      <c r="M20" s="102"/>
      <c r="N20" s="102"/>
    </row>
    <row r="21" spans="1:14" ht="20" hidden="1" outlineLevel="1" x14ac:dyDescent="0.65">
      <c r="A21" s="163"/>
      <c r="B21" s="163"/>
      <c r="C21" s="161"/>
      <c r="D21" s="424" t="s">
        <v>269</v>
      </c>
      <c r="E21" s="425"/>
      <c r="F21" s="425"/>
      <c r="G21" s="164">
        <f>G68</f>
        <v>18.237193783832481</v>
      </c>
      <c r="H21" s="156"/>
      <c r="I21" s="158"/>
      <c r="J21" s="102"/>
      <c r="K21" s="102"/>
      <c r="L21" s="102"/>
      <c r="M21" s="102"/>
      <c r="N21" s="102"/>
    </row>
    <row r="22" spans="1:14" ht="20" hidden="1" outlineLevel="1" x14ac:dyDescent="0.65">
      <c r="A22" s="148"/>
      <c r="B22" s="148"/>
      <c r="C22" s="161"/>
      <c r="D22" s="424" t="s">
        <v>270</v>
      </c>
      <c r="E22" s="425"/>
      <c r="F22" s="425"/>
      <c r="G22" s="164">
        <f>H35</f>
        <v>377</v>
      </c>
      <c r="H22" s="165" t="s">
        <v>271</v>
      </c>
      <c r="I22" s="158"/>
      <c r="J22" s="102"/>
      <c r="K22" s="102"/>
      <c r="L22" s="166"/>
      <c r="M22" s="102"/>
      <c r="N22" s="102"/>
    </row>
    <row r="23" spans="1:14" ht="27" hidden="1" outlineLevel="1" x14ac:dyDescent="0.9">
      <c r="A23" s="148"/>
      <c r="B23" s="148"/>
      <c r="C23" s="167" t="s">
        <v>272</v>
      </c>
      <c r="D23" s="168"/>
      <c r="E23" s="168"/>
      <c r="F23" s="168"/>
      <c r="G23" s="169">
        <f>(G22+G20)</f>
        <v>413.82634739418506</v>
      </c>
      <c r="H23" s="428">
        <f>G23-G25</f>
        <v>17.244598195343144</v>
      </c>
      <c r="I23" s="158"/>
      <c r="J23" s="102"/>
      <c r="K23" s="102"/>
      <c r="L23" s="102"/>
      <c r="M23" s="102"/>
      <c r="N23" s="102"/>
    </row>
    <row r="24" spans="1:14" ht="20" hidden="1" outlineLevel="1" x14ac:dyDescent="0.65">
      <c r="A24" s="148"/>
      <c r="B24" s="148"/>
      <c r="C24" s="161"/>
      <c r="D24" s="426" t="s">
        <v>374</v>
      </c>
      <c r="E24" s="427"/>
      <c r="F24" s="427"/>
      <c r="G24" s="162">
        <f>I35</f>
        <v>414.8189429826744</v>
      </c>
      <c r="H24" s="429"/>
      <c r="I24" s="158"/>
      <c r="J24" s="102"/>
      <c r="K24" s="102"/>
      <c r="L24" s="102"/>
      <c r="M24" s="102"/>
      <c r="N24" s="102"/>
    </row>
    <row r="25" spans="1:14" ht="20" hidden="1" outlineLevel="1" x14ac:dyDescent="0.65">
      <c r="A25" s="148"/>
      <c r="B25" s="148"/>
      <c r="C25" s="161"/>
      <c r="D25" s="424" t="s">
        <v>273</v>
      </c>
      <c r="E25" s="425"/>
      <c r="F25" s="425"/>
      <c r="G25" s="164">
        <f>G24-G21</f>
        <v>396.58174919884192</v>
      </c>
      <c r="H25" s="430"/>
      <c r="I25" s="158"/>
      <c r="J25" s="102"/>
      <c r="K25" s="102"/>
      <c r="L25" s="102"/>
      <c r="M25" s="102"/>
      <c r="N25" s="102"/>
    </row>
    <row r="26" spans="1:14" s="102" customFormat="1" ht="14.5" hidden="1" outlineLevel="1" x14ac:dyDescent="0.5">
      <c r="A26" s="148"/>
      <c r="B26" s="148"/>
      <c r="C26" s="156"/>
      <c r="D26" s="156"/>
      <c r="E26" s="156"/>
      <c r="F26" s="156"/>
      <c r="G26" s="156"/>
      <c r="H26" s="156"/>
      <c r="I26" s="158"/>
    </row>
    <row r="27" spans="1:14" s="102" customFormat="1" ht="23" hidden="1" collapsed="1" x14ac:dyDescent="0.75">
      <c r="B27" s="170"/>
      <c r="C27" s="156"/>
      <c r="D27" s="156"/>
      <c r="E27" s="423"/>
      <c r="F27" s="423"/>
      <c r="G27" s="423"/>
      <c r="H27" s="156"/>
      <c r="I27" s="158"/>
    </row>
    <row r="28" spans="1:14" s="102" customFormat="1" ht="16.5" hidden="1" x14ac:dyDescent="0.55000000000000004">
      <c r="A28" s="170" t="s">
        <v>274</v>
      </c>
      <c r="B28" s="170"/>
      <c r="C28" s="145"/>
      <c r="D28" s="145"/>
      <c r="E28" s="145"/>
      <c r="F28" s="145"/>
      <c r="G28" s="145"/>
      <c r="H28" s="145"/>
      <c r="I28" s="145"/>
    </row>
    <row r="29" spans="1:14" s="102" customFormat="1" ht="16.5" x14ac:dyDescent="0.55000000000000004">
      <c r="A29" s="344" t="s">
        <v>275</v>
      </c>
      <c r="B29" s="342"/>
    </row>
    <row r="30" spans="1:14" ht="15" thickBot="1" x14ac:dyDescent="0.55000000000000004">
      <c r="A30" s="343"/>
      <c r="B30" s="145"/>
    </row>
    <row r="31" spans="1:14" ht="20" x14ac:dyDescent="0.65">
      <c r="C31" s="329"/>
      <c r="D31" s="380" t="s">
        <v>276</v>
      </c>
      <c r="E31" s="380"/>
      <c r="F31" s="380"/>
      <c r="G31" s="380"/>
      <c r="H31" s="380"/>
      <c r="I31" s="380"/>
      <c r="J31" s="333"/>
    </row>
    <row r="32" spans="1:14" ht="14.5" x14ac:dyDescent="0.5">
      <c r="C32" s="299"/>
      <c r="E32" s="145"/>
      <c r="F32" s="145"/>
      <c r="J32" s="298"/>
    </row>
    <row r="33" spans="1:10" ht="16.5" x14ac:dyDescent="0.55000000000000004">
      <c r="C33" s="299"/>
      <c r="D33" s="300" t="s">
        <v>256</v>
      </c>
      <c r="E33" s="300" t="s">
        <v>257</v>
      </c>
      <c r="F33" s="145"/>
      <c r="J33" s="298"/>
    </row>
    <row r="34" spans="1:10" ht="19" x14ac:dyDescent="0.65">
      <c r="C34" s="299"/>
      <c r="D34" s="330" t="s">
        <v>277</v>
      </c>
      <c r="E34" s="321">
        <v>0</v>
      </c>
      <c r="G34" s="332" t="s">
        <v>260</v>
      </c>
      <c r="H34" s="332" t="s">
        <v>194</v>
      </c>
      <c r="I34" s="332" t="s">
        <v>278</v>
      </c>
      <c r="J34" s="298"/>
    </row>
    <row r="35" spans="1:10" ht="19" x14ac:dyDescent="0.65">
      <c r="C35" s="299"/>
      <c r="D35" s="331" t="s">
        <v>258</v>
      </c>
      <c r="E35" s="346">
        <v>0</v>
      </c>
      <c r="G35" s="345">
        <f>E38</f>
        <v>0</v>
      </c>
      <c r="H35" s="349">
        <f>_xlfn.XLOOKUP(A2,'Data - insamling av data'!B6:B26,'Data - insamling av data'!D6:D26)</f>
        <v>377</v>
      </c>
      <c r="I35" s="350">
        <f>_xlfn.XLOOKUP(A2,'Data - insamling av data'!B6:B26,'Data - insamling av data'!C6:C26)</f>
        <v>414.8189429826744</v>
      </c>
      <c r="J35" s="298"/>
    </row>
    <row r="36" spans="1:10" ht="19" x14ac:dyDescent="0.65">
      <c r="C36" s="299"/>
      <c r="D36" s="331" t="s">
        <v>279</v>
      </c>
      <c r="E36" s="436">
        <f>E34*E35</f>
        <v>0</v>
      </c>
      <c r="J36" s="298"/>
    </row>
    <row r="37" spans="1:10" ht="19" x14ac:dyDescent="0.65">
      <c r="C37" s="299"/>
      <c r="D37" s="331" t="s">
        <v>259</v>
      </c>
      <c r="E37" s="347">
        <v>0.9</v>
      </c>
      <c r="F37" s="145"/>
      <c r="J37" s="298"/>
    </row>
    <row r="38" spans="1:10" ht="19" x14ac:dyDescent="0.65">
      <c r="C38" s="299"/>
      <c r="D38" s="331" t="s">
        <v>280</v>
      </c>
      <c r="E38" s="437">
        <f>(E36/365)*(1/E37)</f>
        <v>0</v>
      </c>
      <c r="F38" s="145"/>
      <c r="J38" s="298"/>
    </row>
    <row r="39" spans="1:10" x14ac:dyDescent="0.45">
      <c r="A39" s="173"/>
      <c r="C39" s="299"/>
      <c r="J39" s="298"/>
    </row>
    <row r="40" spans="1:10" ht="14" thickBot="1" x14ac:dyDescent="0.5">
      <c r="C40" s="301"/>
      <c r="D40" s="302"/>
      <c r="E40" s="302"/>
      <c r="F40" s="302"/>
      <c r="G40" s="302"/>
      <c r="H40" s="302"/>
      <c r="I40" s="302"/>
      <c r="J40" s="303"/>
    </row>
    <row r="41" spans="1:10" ht="14" thickBot="1" x14ac:dyDescent="0.5"/>
    <row r="42" spans="1:10" ht="20" x14ac:dyDescent="0.65">
      <c r="C42" s="329"/>
      <c r="D42" s="380" t="s">
        <v>262</v>
      </c>
      <c r="E42" s="380"/>
      <c r="F42" s="380"/>
      <c r="G42" s="380"/>
      <c r="H42" s="380"/>
      <c r="I42" s="380"/>
      <c r="J42" s="333"/>
    </row>
    <row r="43" spans="1:10" x14ac:dyDescent="0.45">
      <c r="C43" s="299"/>
      <c r="J43" s="298"/>
    </row>
    <row r="44" spans="1:10" ht="16.5" x14ac:dyDescent="0.55000000000000004">
      <c r="C44" s="299"/>
      <c r="E44" s="300" t="s">
        <v>257</v>
      </c>
      <c r="F44" s="300" t="s">
        <v>391</v>
      </c>
      <c r="G44" s="304" t="s">
        <v>281</v>
      </c>
      <c r="H44" s="170"/>
      <c r="J44" s="298"/>
    </row>
    <row r="45" spans="1:10" ht="19" x14ac:dyDescent="0.65">
      <c r="C45" s="299"/>
      <c r="D45" s="334" t="s">
        <v>282</v>
      </c>
      <c r="E45" s="322">
        <v>3.1E-2</v>
      </c>
      <c r="F45" s="351">
        <f>_xlfn.XLOOKUP(A2,'Data - insamling av data'!B6:B26,'Data - insamling av data'!AA6:AA26)</f>
        <v>5.1374819102749637E-2</v>
      </c>
      <c r="G45" s="381">
        <f>J81</f>
        <v>28.339131750000004</v>
      </c>
      <c r="H45" s="382"/>
      <c r="J45" s="298"/>
    </row>
    <row r="46" spans="1:10" ht="19.5" thickBot="1" x14ac:dyDescent="0.7">
      <c r="C46" s="305"/>
      <c r="D46" s="335" t="s">
        <v>283</v>
      </c>
      <c r="E46" s="323">
        <v>6.4000000000000001E-2</v>
      </c>
      <c r="F46" s="352">
        <f>_xlfn.XLOOKUP(A2,'Data - insamling av data'!B6:B26,'Data - insamling av data'!AG6:AG26)</f>
        <v>7.1397474967348704E-2</v>
      </c>
      <c r="G46" s="383">
        <f>J90</f>
        <v>8.2518371996913533</v>
      </c>
      <c r="H46" s="384"/>
      <c r="J46" s="298"/>
    </row>
    <row r="47" spans="1:10" ht="19.5" thickBot="1" x14ac:dyDescent="0.7">
      <c r="C47" s="305"/>
      <c r="D47" s="376" t="s">
        <v>284</v>
      </c>
      <c r="E47" s="377"/>
      <c r="F47" s="377"/>
      <c r="G47" s="378">
        <f>G45+G46</f>
        <v>36.590968949691359</v>
      </c>
      <c r="H47" s="379"/>
      <c r="J47" s="298"/>
    </row>
    <row r="48" spans="1:10" x14ac:dyDescent="0.45">
      <c r="C48" s="299"/>
      <c r="J48" s="298"/>
    </row>
    <row r="49" spans="1:14" x14ac:dyDescent="0.45">
      <c r="C49" s="299"/>
      <c r="J49" s="298"/>
    </row>
    <row r="50" spans="1:14" ht="16.5" hidden="1" outlineLevel="1" x14ac:dyDescent="0.55000000000000004">
      <c r="C50" s="299"/>
      <c r="E50" s="300" t="s">
        <v>257</v>
      </c>
      <c r="F50" s="306"/>
      <c r="G50" s="145"/>
      <c r="J50" s="298"/>
    </row>
    <row r="51" spans="1:14" ht="20" hidden="1" outlineLevel="1" x14ac:dyDescent="0.65">
      <c r="A51" s="173"/>
      <c r="C51" s="299"/>
      <c r="D51" s="307" t="s">
        <v>285</v>
      </c>
      <c r="E51" s="308">
        <v>6</v>
      </c>
      <c r="F51" s="309">
        <f>E78</f>
        <v>6</v>
      </c>
      <c r="G51" s="310">
        <f>G47/E52</f>
        <v>36.826347394185049</v>
      </c>
      <c r="H51" s="170"/>
      <c r="J51" s="298"/>
    </row>
    <row r="52" spans="1:14" ht="45" hidden="1" customHeight="1" outlineLevel="1" thickBot="1" x14ac:dyDescent="0.7">
      <c r="C52" s="299"/>
      <c r="D52" s="311" t="s">
        <v>286</v>
      </c>
      <c r="E52" s="312">
        <f>F85</f>
        <v>0.9936084227421681</v>
      </c>
      <c r="F52" s="309">
        <f>E85</f>
        <v>0.9936084227421681</v>
      </c>
      <c r="G52" s="304" t="s">
        <v>287</v>
      </c>
      <c r="H52" s="170"/>
      <c r="J52" s="298"/>
    </row>
    <row r="53" spans="1:14" ht="20.5" hidden="1" outlineLevel="1" thickBot="1" x14ac:dyDescent="0.7">
      <c r="C53" s="299"/>
      <c r="D53" s="390" t="s">
        <v>288</v>
      </c>
      <c r="E53" s="391"/>
      <c r="F53" s="392"/>
      <c r="G53" s="393">
        <f>G51-G47</f>
        <v>0.23537844449369061</v>
      </c>
      <c r="H53" s="394"/>
      <c r="J53" s="298"/>
    </row>
    <row r="54" spans="1:14" hidden="1" outlineLevel="1" x14ac:dyDescent="0.45">
      <c r="C54" s="299"/>
      <c r="J54" s="298"/>
    </row>
    <row r="55" spans="1:14" ht="14" collapsed="1" thickBot="1" x14ac:dyDescent="0.5">
      <c r="C55" s="301"/>
      <c r="D55" s="302"/>
      <c r="E55" s="302"/>
      <c r="F55" s="302"/>
      <c r="G55" s="302"/>
      <c r="H55" s="302"/>
      <c r="I55" s="302"/>
      <c r="J55" s="303"/>
    </row>
    <row r="56" spans="1:14" ht="14" thickBot="1" x14ac:dyDescent="0.5"/>
    <row r="57" spans="1:14" ht="44.15" customHeight="1" x14ac:dyDescent="0.65">
      <c r="C57" s="336"/>
      <c r="D57" s="395" t="s">
        <v>389</v>
      </c>
      <c r="E57" s="395"/>
      <c r="F57" s="395"/>
      <c r="G57" s="395"/>
      <c r="H57" s="395"/>
      <c r="I57" s="395"/>
      <c r="J57" s="337"/>
    </row>
    <row r="58" spans="1:14" x14ac:dyDescent="0.45">
      <c r="C58" s="313"/>
      <c r="J58" s="314"/>
    </row>
    <row r="59" spans="1:14" ht="16.5" x14ac:dyDescent="0.55000000000000004">
      <c r="C59" s="313"/>
      <c r="E59" s="300" t="s">
        <v>257</v>
      </c>
      <c r="F59" s="300" t="s">
        <v>391</v>
      </c>
      <c r="G59" s="304" t="s">
        <v>326</v>
      </c>
      <c r="H59" s="304"/>
      <c r="J59" s="314"/>
    </row>
    <row r="60" spans="1:14" ht="38" x14ac:dyDescent="0.65">
      <c r="C60" s="313"/>
      <c r="D60" s="338" t="s">
        <v>289</v>
      </c>
      <c r="E60" s="357">
        <v>0.123</v>
      </c>
      <c r="F60" s="353">
        <f>_xlfn.XLOOKUP(A2,'Data - insamling av data'!B6:B26,'Data - insamling av data'!AO6:AO26)</f>
        <v>0.1383882328568469</v>
      </c>
      <c r="G60" s="396">
        <f>O82</f>
        <v>5.375798679353621</v>
      </c>
      <c r="H60" s="397"/>
      <c r="J60" s="314"/>
    </row>
    <row r="61" spans="1:14" ht="38" x14ac:dyDescent="0.65">
      <c r="C61" s="313"/>
      <c r="D61" s="338" t="s">
        <v>290</v>
      </c>
      <c r="E61" s="357">
        <v>8.6999999999999994E-2</v>
      </c>
      <c r="F61" s="353">
        <f>_xlfn.XLOOKUP(A2,'Data - insamling av data'!B6:B26,'Data - insamling av data'!AU6:AU26)</f>
        <v>0.10109265346006929</v>
      </c>
      <c r="G61" s="396">
        <f>O89</f>
        <v>2.2594798757734078</v>
      </c>
      <c r="H61" s="397"/>
      <c r="J61" s="314"/>
      <c r="N61" s="216"/>
    </row>
    <row r="62" spans="1:14" ht="19" x14ac:dyDescent="0.65">
      <c r="C62" s="313"/>
      <c r="D62" s="338" t="s">
        <v>291</v>
      </c>
      <c r="E62" s="357">
        <v>1.0999999999999999E-2</v>
      </c>
      <c r="F62" s="354">
        <f>_xlfn.XLOOKUP(A2,'Data - insamling av data'!B6:B26,'Data - insamling av data'!AK6:AK26)</f>
        <v>2.6764703828616516E-2</v>
      </c>
      <c r="G62" s="396">
        <f>O94</f>
        <v>6.1854219178082186</v>
      </c>
      <c r="H62" s="397"/>
      <c r="J62" s="314"/>
    </row>
    <row r="63" spans="1:14" ht="19" x14ac:dyDescent="0.65">
      <c r="C63" s="313"/>
      <c r="D63" s="338" t="s">
        <v>73</v>
      </c>
      <c r="E63" s="341">
        <v>3725</v>
      </c>
      <c r="F63" s="355">
        <f>_xlfn.XLOOKUP(A2,'Data - insamling av data'!B6:B26,'Data - insamling av data'!BB6:BB26)</f>
        <v>4093.2462107010874</v>
      </c>
      <c r="G63" s="396">
        <f>O101</f>
        <v>3.3888689153666034</v>
      </c>
      <c r="H63" s="397"/>
      <c r="J63" s="314"/>
    </row>
    <row r="64" spans="1:14" ht="38" x14ac:dyDescent="0.65">
      <c r="C64" s="313"/>
      <c r="D64" s="338" t="s">
        <v>42</v>
      </c>
      <c r="E64" s="341">
        <v>1473</v>
      </c>
      <c r="F64" s="355">
        <f>_xlfn.XLOOKUP(A2,'Data - insamling av data'!B6:B26,'Data - insamling av data'!BH6:BH26)</f>
        <v>1765.2298307646631</v>
      </c>
      <c r="G64" s="396">
        <f>O108</f>
        <v>2.6460427037828333</v>
      </c>
      <c r="H64" s="397"/>
      <c r="J64" s="314"/>
    </row>
    <row r="65" spans="2:16" ht="38" x14ac:dyDescent="0.65">
      <c r="C65" s="313"/>
      <c r="D65" s="338" t="s">
        <v>292</v>
      </c>
      <c r="E65" s="341">
        <v>102</v>
      </c>
      <c r="F65" s="355">
        <f>_xlfn.XLOOKUP(A2,'Data - insamling av data'!B6:B26,'Data - insamling av data'!BN6:BN26)</f>
        <v>130.272704194113</v>
      </c>
      <c r="G65" s="396">
        <f>O115</f>
        <v>0.46735145879873541</v>
      </c>
      <c r="H65" s="397"/>
      <c r="J65" s="314"/>
    </row>
    <row r="66" spans="2:16" ht="38" x14ac:dyDescent="0.65">
      <c r="C66" s="313"/>
      <c r="D66" s="338" t="s">
        <v>293</v>
      </c>
      <c r="E66" s="357">
        <v>2.4E-2</v>
      </c>
      <c r="F66" s="356">
        <f>_xlfn.XLOOKUP(A2,'Data - insamling av data'!B6:B26,'Data - insamling av data'!BT6:BT26)</f>
        <v>2.89616453885395E-2</v>
      </c>
      <c r="G66" s="396">
        <f>O122</f>
        <v>8.0242441598896939</v>
      </c>
      <c r="H66" s="397"/>
      <c r="J66" s="314"/>
    </row>
    <row r="67" spans="2:16" ht="19.5" thickBot="1" x14ac:dyDescent="0.7">
      <c r="C67" s="313"/>
      <c r="D67" s="339" t="s">
        <v>294</v>
      </c>
      <c r="E67" s="357">
        <v>4.7E-2</v>
      </c>
      <c r="F67" s="356">
        <f>_xlfn.XLOOKUP(A2,'Data - insamling av data'!B6:B26,'Data - insamling av data'!BY6:BY26)</f>
        <v>3.216666666666667E-2</v>
      </c>
      <c r="G67" s="396">
        <f>O129</f>
        <v>-10.110013926940633</v>
      </c>
      <c r="H67" s="397"/>
      <c r="J67" s="314"/>
    </row>
    <row r="68" spans="2:16" ht="19.5" thickBot="1" x14ac:dyDescent="0.7">
      <c r="C68" s="320"/>
      <c r="D68" s="385" t="s">
        <v>295</v>
      </c>
      <c r="E68" s="386"/>
      <c r="F68" s="387"/>
      <c r="G68" s="388">
        <f>SUM(G60:H67)</f>
        <v>18.237193783832481</v>
      </c>
      <c r="H68" s="389"/>
      <c r="J68" s="314"/>
    </row>
    <row r="69" spans="2:16" ht="15.5" thickBot="1" x14ac:dyDescent="0.55000000000000004">
      <c r="C69" s="315"/>
      <c r="D69" s="316"/>
      <c r="E69" s="317"/>
      <c r="F69" s="348" t="s">
        <v>390</v>
      </c>
      <c r="G69" s="318"/>
      <c r="H69" s="316"/>
      <c r="I69" s="316"/>
      <c r="J69" s="319"/>
    </row>
    <row r="73" spans="2:16" ht="17" hidden="1" thickBot="1" x14ac:dyDescent="0.6">
      <c r="C73" s="196"/>
      <c r="D73" s="197" t="s">
        <v>296</v>
      </c>
      <c r="E73" s="198"/>
      <c r="F73" s="199"/>
    </row>
    <row r="74" spans="2:16" ht="17" hidden="1" outlineLevel="1" thickBot="1" x14ac:dyDescent="0.6">
      <c r="B74" s="190"/>
      <c r="C74" s="171"/>
      <c r="D74" s="171"/>
      <c r="E74" s="171"/>
      <c r="F74" s="171"/>
      <c r="G74" s="196"/>
      <c r="H74" s="197" t="s">
        <v>297</v>
      </c>
      <c r="I74" s="198"/>
      <c r="J74" s="198"/>
      <c r="K74" s="199"/>
      <c r="L74" s="145"/>
      <c r="P74" s="102"/>
    </row>
    <row r="75" spans="2:16" ht="17" hidden="1" outlineLevel="1" thickBot="1" x14ac:dyDescent="0.6">
      <c r="B75" s="190"/>
      <c r="C75" s="171"/>
      <c r="D75" s="171"/>
      <c r="E75" s="171"/>
      <c r="F75" s="189"/>
      <c r="G75" s="171"/>
      <c r="H75" s="171"/>
      <c r="I75" s="171"/>
      <c r="J75" s="171"/>
      <c r="K75" s="200"/>
      <c r="L75" s="196"/>
      <c r="M75" s="198"/>
      <c r="N75" s="197" t="s">
        <v>298</v>
      </c>
      <c r="O75" s="214"/>
      <c r="P75" s="148"/>
    </row>
    <row r="76" spans="2:16" ht="15" hidden="1" outlineLevel="1" thickBot="1" x14ac:dyDescent="0.55000000000000004">
      <c r="B76" s="190"/>
      <c r="C76" s="171"/>
      <c r="D76" s="171"/>
      <c r="E76" s="171"/>
      <c r="F76" s="189"/>
      <c r="G76" s="171"/>
      <c r="H76" s="211" t="s">
        <v>299</v>
      </c>
      <c r="I76" s="171"/>
      <c r="J76" s="171"/>
      <c r="K76" s="171"/>
      <c r="L76" s="202"/>
      <c r="M76" s="203"/>
      <c r="N76" s="203"/>
      <c r="O76" s="200"/>
      <c r="P76" s="148"/>
    </row>
    <row r="77" spans="2:16" ht="17" hidden="1" outlineLevel="1" thickBot="1" x14ac:dyDescent="0.6">
      <c r="B77" s="190"/>
      <c r="C77" s="171"/>
      <c r="D77" s="185" t="s">
        <v>300</v>
      </c>
      <c r="E77" s="186"/>
      <c r="F77" s="189"/>
      <c r="G77" s="171"/>
      <c r="H77" s="402" t="s">
        <v>327</v>
      </c>
      <c r="I77" s="403"/>
      <c r="J77" s="266">
        <f>_xlfn.XLOOKUP(A2,'Data - insamling av data'!B6:B26,'Data - insamling av data'!Z6:Z26)</f>
        <v>71</v>
      </c>
      <c r="K77" s="201"/>
      <c r="L77" s="204"/>
      <c r="M77" s="211" t="s">
        <v>289</v>
      </c>
      <c r="N77" s="171"/>
      <c r="O77" s="189"/>
      <c r="P77" s="148"/>
    </row>
    <row r="78" spans="2:16" ht="15" hidden="1" outlineLevel="1" thickBot="1" x14ac:dyDescent="0.55000000000000004">
      <c r="B78" s="190"/>
      <c r="C78" s="189"/>
      <c r="D78" s="174" t="s">
        <v>301</v>
      </c>
      <c r="E78" s="178">
        <v>6</v>
      </c>
      <c r="F78" s="192" t="s">
        <v>260</v>
      </c>
      <c r="G78" s="171"/>
      <c r="H78" s="404" t="s">
        <v>328</v>
      </c>
      <c r="I78" s="405"/>
      <c r="J78" s="267">
        <f>_xlfn.XLOOKUP(A2,'Data - insamling av data'!B6:B26,'Data - insamling av data'!Y6:Y26)</f>
        <v>1382</v>
      </c>
      <c r="K78" s="201"/>
      <c r="L78" s="204"/>
      <c r="M78" s="400" t="s">
        <v>302</v>
      </c>
      <c r="N78" s="401"/>
      <c r="O78" s="272">
        <f>_xlfn.XLOOKUP(A2,'Data - insamling av data'!B6:B26,'Data - insamling av data'!AN6:AN26)</f>
        <v>2672</v>
      </c>
      <c r="P78" s="148"/>
    </row>
    <row r="79" spans="2:16" ht="15" hidden="1" outlineLevel="1" thickBot="1" x14ac:dyDescent="0.55000000000000004">
      <c r="B79" s="190"/>
      <c r="C79" s="189"/>
      <c r="D79" s="174" t="s">
        <v>116</v>
      </c>
      <c r="E79" s="179">
        <f>1/E78</f>
        <v>0.16666666666666666</v>
      </c>
      <c r="F79" s="193">
        <f>1/E51</f>
        <v>0.16666666666666666</v>
      </c>
      <c r="G79" s="171"/>
      <c r="H79" s="404" t="s">
        <v>329</v>
      </c>
      <c r="I79" s="405"/>
      <c r="J79" s="268">
        <f>IFERROR(J77/J78,"-")</f>
        <v>5.1374819102749637E-2</v>
      </c>
      <c r="K79" s="201"/>
      <c r="L79" s="204"/>
      <c r="M79" s="406" t="s">
        <v>334</v>
      </c>
      <c r="N79" s="407"/>
      <c r="O79" s="273">
        <f>_xlfn.XLOOKUP(A2,'Data - insamling av data'!B6:B26,'Data - insamling av data'!AP6:AP26)</f>
        <v>6.6040419161676649</v>
      </c>
      <c r="P79" s="148"/>
    </row>
    <row r="80" spans="2:16" ht="30.75" hidden="1" customHeight="1" outlineLevel="1" thickBot="1" x14ac:dyDescent="0.55000000000000004">
      <c r="B80" s="190"/>
      <c r="C80" s="189"/>
      <c r="D80" s="175" t="s">
        <v>303</v>
      </c>
      <c r="E80" s="178">
        <v>34</v>
      </c>
      <c r="F80" s="189"/>
      <c r="G80" s="171"/>
      <c r="H80" s="398" t="s">
        <v>304</v>
      </c>
      <c r="I80" s="399"/>
      <c r="J80" s="267">
        <f>J77-$E$45*J78</f>
        <v>28.158000000000001</v>
      </c>
      <c r="K80" s="201"/>
      <c r="L80" s="204"/>
      <c r="M80" s="400" t="s">
        <v>335</v>
      </c>
      <c r="N80" s="401"/>
      <c r="O80" s="274">
        <f>_xlfn.XLOOKUP(A2,'Data - insamling av data'!B6:B26,'Data - insamling av data'!AQ6:AQ26)</f>
        <v>19308</v>
      </c>
      <c r="P80" s="148"/>
    </row>
    <row r="81" spans="2:17" ht="15" hidden="1" outlineLevel="1" thickBot="1" x14ac:dyDescent="0.55000000000000004">
      <c r="B81" s="190"/>
      <c r="C81" s="189"/>
      <c r="D81" s="175" t="s">
        <v>119</v>
      </c>
      <c r="E81" s="180">
        <v>0.91700000000000004</v>
      </c>
      <c r="F81" s="189"/>
      <c r="G81" s="171"/>
      <c r="H81" s="408" t="s">
        <v>305</v>
      </c>
      <c r="I81" s="409"/>
      <c r="J81" s="269">
        <f>J80/E85</f>
        <v>28.339131750000004</v>
      </c>
      <c r="K81" s="201"/>
      <c r="L81" s="204"/>
      <c r="M81" s="406" t="s">
        <v>306</v>
      </c>
      <c r="N81" s="407"/>
      <c r="O81" s="275">
        <f>O78-$E$60*O80</f>
        <v>297.11599999999999</v>
      </c>
      <c r="P81" s="148"/>
    </row>
    <row r="82" spans="2:17" ht="15" hidden="1" outlineLevel="1" thickBot="1" x14ac:dyDescent="0.55000000000000004">
      <c r="B82" s="190"/>
      <c r="C82" s="189"/>
      <c r="D82" s="175" t="s">
        <v>307</v>
      </c>
      <c r="E82" s="180">
        <f>1-8.71%</f>
        <v>0.91290000000000004</v>
      </c>
      <c r="F82" s="189"/>
      <c r="G82" s="171"/>
      <c r="H82" s="171"/>
      <c r="I82" s="171"/>
      <c r="J82" s="171"/>
      <c r="K82" s="201"/>
      <c r="L82" s="204"/>
      <c r="M82" s="400" t="s">
        <v>308</v>
      </c>
      <c r="N82" s="401"/>
      <c r="O82" s="276">
        <f>(O81*O79)/365</f>
        <v>5.375798679353621</v>
      </c>
      <c r="P82" s="148"/>
    </row>
    <row r="83" spans="2:17" ht="15" hidden="1" outlineLevel="1" thickBot="1" x14ac:dyDescent="0.55000000000000004">
      <c r="B83" s="190"/>
      <c r="C83" s="189"/>
      <c r="D83" s="174" t="s">
        <v>309</v>
      </c>
      <c r="E83" s="178">
        <v>47</v>
      </c>
      <c r="F83" s="189"/>
      <c r="G83" s="171"/>
      <c r="H83" s="211" t="s">
        <v>310</v>
      </c>
      <c r="I83" s="171"/>
      <c r="J83" s="171"/>
      <c r="K83" s="201"/>
      <c r="L83" s="204"/>
      <c r="M83" s="171"/>
      <c r="N83" s="171"/>
      <c r="O83" s="189"/>
      <c r="P83" s="148"/>
    </row>
    <row r="84" spans="2:17" ht="26.25" hidden="1" customHeight="1" outlineLevel="1" thickBot="1" x14ac:dyDescent="0.55000000000000004">
      <c r="B84" s="190"/>
      <c r="C84" s="189"/>
      <c r="D84" s="176"/>
      <c r="E84" s="181"/>
      <c r="F84" s="192" t="s">
        <v>260</v>
      </c>
      <c r="G84" s="171"/>
      <c r="H84" s="412" t="s">
        <v>330</v>
      </c>
      <c r="I84" s="413"/>
      <c r="J84" s="266">
        <f>_xlfn.XLOOKUP(A2,'Data - insamling av data'!B6:B26,'Data - insamling av data'!AF6:AF26)</f>
        <v>163.99999999999997</v>
      </c>
      <c r="K84" s="171"/>
      <c r="L84" s="204"/>
      <c r="M84" s="211" t="s">
        <v>290</v>
      </c>
      <c r="N84" s="171"/>
      <c r="O84" s="189"/>
      <c r="P84" s="148"/>
    </row>
    <row r="85" spans="2:17" ht="15" hidden="1" outlineLevel="1" thickBot="1" x14ac:dyDescent="0.55000000000000004">
      <c r="B85" s="190"/>
      <c r="C85" s="189"/>
      <c r="D85" s="177" t="s">
        <v>286</v>
      </c>
      <c r="E85" s="182">
        <f>((24*7*52)/($E$80*$E$83*E81)*$E$79)</f>
        <v>0.9936084227421681</v>
      </c>
      <c r="F85" s="194">
        <f>((24*7*52)/($E$80*$E$83*E81)*$F$79)</f>
        <v>0.9936084227421681</v>
      </c>
      <c r="G85" s="171"/>
      <c r="H85" s="404" t="s">
        <v>331</v>
      </c>
      <c r="I85" s="405"/>
      <c r="J85" s="267">
        <f>_xlfn.XLOOKUP(A2,'Data - insamling av data'!B6:B26,'Data - insamling av data'!AE6:AE26)</f>
        <v>2297</v>
      </c>
      <c r="K85" s="171"/>
      <c r="L85" s="204"/>
      <c r="M85" s="410" t="s">
        <v>311</v>
      </c>
      <c r="N85" s="411"/>
      <c r="O85" s="266">
        <f>_xlfn.XLOOKUP(A2,'Data - insamling av data'!B6:B26,'Data - insamling av data'!AT6:AT26)</f>
        <v>1138</v>
      </c>
      <c r="P85" s="148"/>
      <c r="Q85" s="102"/>
    </row>
    <row r="86" spans="2:17" ht="15" hidden="1" outlineLevel="1" thickBot="1" x14ac:dyDescent="0.55000000000000004">
      <c r="B86" s="190"/>
      <c r="C86" s="171"/>
      <c r="D86" s="183"/>
      <c r="E86" s="183"/>
      <c r="F86" s="189"/>
      <c r="G86" s="171"/>
      <c r="H86" s="404" t="s">
        <v>332</v>
      </c>
      <c r="I86" s="405"/>
      <c r="J86" s="270">
        <f>J84/J85</f>
        <v>7.1397474967348704E-2</v>
      </c>
      <c r="K86" s="171"/>
      <c r="L86" s="204"/>
      <c r="M86" s="400" t="s">
        <v>336</v>
      </c>
      <c r="N86" s="401"/>
      <c r="O86" s="275">
        <f>_xlfn.XLOOKUP(A2,'Data - insamling av data'!B6:B26,'Data - insamling av data'!AV6:AV26)</f>
        <v>5.198594024604569</v>
      </c>
      <c r="P86" s="148"/>
      <c r="Q86" s="102"/>
    </row>
    <row r="87" spans="2:17" ht="15" hidden="1" outlineLevel="1" thickBot="1" x14ac:dyDescent="0.55000000000000004">
      <c r="B87" s="190"/>
      <c r="C87" s="189"/>
      <c r="D87" s="184" t="s">
        <v>312</v>
      </c>
      <c r="E87" s="188">
        <v>0.80200000000000005</v>
      </c>
      <c r="F87" s="189"/>
      <c r="G87" s="171"/>
      <c r="H87" s="419" t="s">
        <v>328</v>
      </c>
      <c r="I87" s="420"/>
      <c r="J87" s="267">
        <f>J78</f>
        <v>1382</v>
      </c>
      <c r="K87" s="171"/>
      <c r="L87" s="204"/>
      <c r="M87" s="400" t="s">
        <v>337</v>
      </c>
      <c r="N87" s="401"/>
      <c r="O87" s="275">
        <f>_xlfn.XLOOKUP(A2,'Data - insamling av data'!B6:B26,'Data - insamling av data'!AW6:AW26)</f>
        <v>11257</v>
      </c>
      <c r="P87" s="148"/>
      <c r="Q87" s="102"/>
    </row>
    <row r="88" spans="2:17" ht="30" hidden="1" customHeight="1" outlineLevel="1" thickBot="1" x14ac:dyDescent="0.55000000000000004">
      <c r="B88" s="190"/>
      <c r="C88" s="171"/>
      <c r="D88" s="171"/>
      <c r="E88" s="171"/>
      <c r="F88" s="189"/>
      <c r="G88" s="171"/>
      <c r="H88" s="421" t="s">
        <v>333</v>
      </c>
      <c r="I88" s="422"/>
      <c r="J88" s="271">
        <f>$J$86*J87</f>
        <v>98.671310404875911</v>
      </c>
      <c r="K88" s="171"/>
      <c r="L88" s="204"/>
      <c r="M88" s="406" t="s">
        <v>306</v>
      </c>
      <c r="N88" s="407"/>
      <c r="O88" s="275">
        <f>O85-$E$61*O87</f>
        <v>158.64100000000008</v>
      </c>
      <c r="P88" s="148"/>
      <c r="Q88" s="102"/>
    </row>
    <row r="89" spans="2:17" ht="15" hidden="1" outlineLevel="1" thickBot="1" x14ac:dyDescent="0.55000000000000004">
      <c r="B89" s="190"/>
      <c r="C89" s="171"/>
      <c r="D89" s="171"/>
      <c r="E89" s="171"/>
      <c r="F89" s="189"/>
      <c r="G89" s="171"/>
      <c r="H89" s="421" t="s">
        <v>313</v>
      </c>
      <c r="I89" s="422"/>
      <c r="J89" s="271">
        <f>J88-$E$46*J87</f>
        <v>10.223310404875903</v>
      </c>
      <c r="K89" s="171"/>
      <c r="L89" s="204"/>
      <c r="M89" s="400" t="s">
        <v>314</v>
      </c>
      <c r="N89" s="401"/>
      <c r="O89" s="276">
        <f>(O88*O86)/365</f>
        <v>2.2594798757734078</v>
      </c>
      <c r="P89" s="148"/>
      <c r="Q89" s="102"/>
    </row>
    <row r="90" spans="2:17" ht="15" hidden="1" outlineLevel="1" thickBot="1" x14ac:dyDescent="0.55000000000000004">
      <c r="B90" s="190"/>
      <c r="C90" s="171"/>
      <c r="D90" s="171"/>
      <c r="E90" s="171"/>
      <c r="F90" s="189"/>
      <c r="G90" s="171"/>
      <c r="H90" s="408" t="s">
        <v>305</v>
      </c>
      <c r="I90" s="409"/>
      <c r="J90" s="269">
        <f>(J89/$E$85)*$E$87</f>
        <v>8.2518371996913533</v>
      </c>
      <c r="K90" s="171"/>
      <c r="L90" s="204"/>
      <c r="M90" s="171"/>
      <c r="N90" s="171"/>
      <c r="O90" s="189"/>
      <c r="P90" s="148"/>
      <c r="Q90" s="102"/>
    </row>
    <row r="91" spans="2:17" ht="15" hidden="1" outlineLevel="1" thickBot="1" x14ac:dyDescent="0.55000000000000004">
      <c r="B91" s="190"/>
      <c r="C91" s="191"/>
      <c r="D91" s="187"/>
      <c r="E91" s="187"/>
      <c r="F91" s="195"/>
      <c r="G91" s="191"/>
      <c r="H91" s="187"/>
      <c r="I91" s="187"/>
      <c r="J91" s="187"/>
      <c r="K91" s="187"/>
      <c r="L91" s="204"/>
      <c r="M91" s="211" t="s">
        <v>291</v>
      </c>
      <c r="N91" s="171"/>
      <c r="O91" s="189"/>
      <c r="P91" s="148"/>
      <c r="Q91" s="102"/>
    </row>
    <row r="92" spans="2:17" ht="15" hidden="1" outlineLevel="1" thickBot="1" x14ac:dyDescent="0.55000000000000004">
      <c r="K92" s="145"/>
      <c r="L92" s="204"/>
      <c r="M92" s="410" t="s">
        <v>315</v>
      </c>
      <c r="N92" s="411"/>
      <c r="O92" s="266">
        <f>_xlfn.XLOOKUP(A2,'Data - insamling av data'!B6:B26,'Data - insamling av data'!G6:G26)</f>
        <v>392.35890410958905</v>
      </c>
      <c r="P92" s="148"/>
    </row>
    <row r="93" spans="2:17" ht="15" hidden="1" outlineLevel="1" thickBot="1" x14ac:dyDescent="0.55000000000000004">
      <c r="K93" s="145"/>
      <c r="L93" s="204"/>
      <c r="M93" s="410" t="s">
        <v>316</v>
      </c>
      <c r="N93" s="411"/>
      <c r="O93" s="274">
        <f>_xlfn.XLOOKUP(A2,'Data - insamling av data'!B6:B26,'Data - insamling av data'!AL6:AL26)</f>
        <v>10.501369863013698</v>
      </c>
      <c r="P93" s="148"/>
    </row>
    <row r="94" spans="2:17" ht="15" hidden="1" outlineLevel="1" thickBot="1" x14ac:dyDescent="0.55000000000000004">
      <c r="K94" s="145"/>
      <c r="L94" s="204"/>
      <c r="M94" s="400" t="s">
        <v>314</v>
      </c>
      <c r="N94" s="401"/>
      <c r="O94" s="277">
        <f>O93-O92*$E$62</f>
        <v>6.1854219178082186</v>
      </c>
      <c r="P94" s="148"/>
    </row>
    <row r="95" spans="2:17" ht="14.5" hidden="1" outlineLevel="1" x14ac:dyDescent="0.5">
      <c r="K95" s="145"/>
      <c r="L95" s="204"/>
      <c r="M95" s="171"/>
      <c r="N95" s="203"/>
      <c r="O95" s="189"/>
      <c r="P95" s="148"/>
    </row>
    <row r="96" spans="2:17" ht="15" hidden="1" outlineLevel="1" thickBot="1" x14ac:dyDescent="0.55000000000000004">
      <c r="K96" s="145"/>
      <c r="L96" s="206"/>
      <c r="M96" s="211" t="s">
        <v>73</v>
      </c>
      <c r="N96" s="205"/>
      <c r="O96" s="207"/>
      <c r="P96" s="148"/>
    </row>
    <row r="97" spans="11:16" ht="15" hidden="1" outlineLevel="1" thickBot="1" x14ac:dyDescent="0.55000000000000004">
      <c r="K97" s="145"/>
      <c r="L97" s="204"/>
      <c r="M97" s="400" t="s">
        <v>39</v>
      </c>
      <c r="N97" s="401"/>
      <c r="O97" s="266">
        <f>_xlfn.XLOOKUP(A2,'Data - insamling av data'!B6:B26,'Data - insamling av data'!BB6:BB26)</f>
        <v>4093.2462107010874</v>
      </c>
      <c r="P97" s="148"/>
    </row>
    <row r="98" spans="11:16" ht="15" hidden="1" outlineLevel="1" thickBot="1" x14ac:dyDescent="0.55000000000000004">
      <c r="K98" s="145"/>
      <c r="L98" s="204"/>
      <c r="M98" s="400" t="s">
        <v>341</v>
      </c>
      <c r="N98" s="401"/>
      <c r="O98" s="275">
        <f>_xlfn.XLOOKUP(A2,'Data - insamling av data'!B6:B26,'Data - insamling av data'!BA6:BA26)</f>
        <v>74684</v>
      </c>
      <c r="P98" s="148"/>
    </row>
    <row r="99" spans="11:16" ht="15" hidden="1" outlineLevel="1" thickBot="1" x14ac:dyDescent="0.55000000000000004">
      <c r="K99" s="145"/>
      <c r="L99" s="204"/>
      <c r="M99" s="400" t="s">
        <v>306</v>
      </c>
      <c r="N99" s="401"/>
      <c r="O99" s="275">
        <f>(O97/100000)*O98-($E$63/100000)*O98</f>
        <v>275.02100000000019</v>
      </c>
      <c r="P99" s="148"/>
    </row>
    <row r="100" spans="11:16" ht="15" hidden="1" outlineLevel="1" thickBot="1" x14ac:dyDescent="0.55000000000000004">
      <c r="K100" s="145"/>
      <c r="L100" s="204"/>
      <c r="M100" s="209"/>
      <c r="N100" s="212" t="s">
        <v>342</v>
      </c>
      <c r="O100" s="275">
        <f>_xlfn.XLOOKUP(A2,'Data - insamling av data'!B6:B26,'Data - insamling av data'!BC6:BC26)</f>
        <v>4.4976098338265427</v>
      </c>
      <c r="P100" s="148"/>
    </row>
    <row r="101" spans="11:16" ht="15" hidden="1" outlineLevel="1" thickBot="1" x14ac:dyDescent="0.55000000000000004">
      <c r="K101" s="145"/>
      <c r="L101" s="204"/>
      <c r="M101" s="414" t="s">
        <v>314</v>
      </c>
      <c r="N101" s="415"/>
      <c r="O101" s="276">
        <f>(O99*O100)/365</f>
        <v>3.3888689153666034</v>
      </c>
      <c r="P101" s="148"/>
    </row>
    <row r="102" spans="11:16" ht="14.5" hidden="1" outlineLevel="1" x14ac:dyDescent="0.5">
      <c r="K102" s="145"/>
      <c r="L102" s="204"/>
      <c r="M102" s="172"/>
      <c r="N102" s="172"/>
      <c r="O102" s="208"/>
      <c r="P102" s="148"/>
    </row>
    <row r="103" spans="11:16" ht="15" hidden="1" outlineLevel="1" thickBot="1" x14ac:dyDescent="0.55000000000000004">
      <c r="K103" s="145"/>
      <c r="L103" s="204"/>
      <c r="M103" s="211" t="s">
        <v>42</v>
      </c>
      <c r="N103" s="205"/>
      <c r="O103" s="207"/>
      <c r="P103" s="148"/>
    </row>
    <row r="104" spans="11:16" ht="15" hidden="1" outlineLevel="1" thickBot="1" x14ac:dyDescent="0.55000000000000004">
      <c r="K104" s="145"/>
      <c r="L104" s="204"/>
      <c r="M104" s="410" t="s">
        <v>39</v>
      </c>
      <c r="N104" s="411"/>
      <c r="O104" s="278">
        <f>_xlfn.XLOOKUP(A2,'Data - insamling av data'!B6:B26,'Data - insamling av data'!BH6:BH26)</f>
        <v>1765.2298307646631</v>
      </c>
      <c r="P104" s="148"/>
    </row>
    <row r="105" spans="11:16" ht="15" hidden="1" outlineLevel="1" thickBot="1" x14ac:dyDescent="0.55000000000000004">
      <c r="K105" s="145"/>
      <c r="L105" s="204"/>
      <c r="M105" s="410" t="s">
        <v>338</v>
      </c>
      <c r="N105" s="411"/>
      <c r="O105" s="279">
        <f>_xlfn.XLOOKUP(A2,'Data - insamling av data'!B6:B26,'Data - insamling av data'!BG6:BG26)</f>
        <v>74098</v>
      </c>
      <c r="P105" s="148"/>
    </row>
    <row r="106" spans="11:16" ht="15" hidden="1" outlineLevel="1" thickBot="1" x14ac:dyDescent="0.55000000000000004">
      <c r="K106" s="145"/>
      <c r="L106" s="204"/>
      <c r="M106" s="400" t="s">
        <v>306</v>
      </c>
      <c r="N106" s="401"/>
      <c r="O106" s="280">
        <f>(O104/100000)*O105-($E$64/100000)*O105</f>
        <v>216.53646000000003</v>
      </c>
      <c r="P106" s="148"/>
    </row>
    <row r="107" spans="11:16" ht="15" hidden="1" outlineLevel="1" thickBot="1" x14ac:dyDescent="0.55000000000000004">
      <c r="K107" s="145"/>
      <c r="L107" s="204"/>
      <c r="M107" s="210"/>
      <c r="N107" s="215" t="s">
        <v>339</v>
      </c>
      <c r="O107" s="279">
        <f>_xlfn.XLOOKUP(A2,'Data - insamling av data'!B6:B26,'Data - insamling av data'!BI6:BI26)</f>
        <v>4.4602446483180431</v>
      </c>
      <c r="P107" s="148"/>
    </row>
    <row r="108" spans="11:16" ht="15" hidden="1" outlineLevel="1" thickBot="1" x14ac:dyDescent="0.55000000000000004">
      <c r="K108" s="145"/>
      <c r="L108" s="204"/>
      <c r="M108" s="400" t="s">
        <v>314</v>
      </c>
      <c r="N108" s="401"/>
      <c r="O108" s="279">
        <f>(O106*O107)/365</f>
        <v>2.6460427037828333</v>
      </c>
      <c r="P108" s="148"/>
    </row>
    <row r="109" spans="11:16" ht="14.5" hidden="1" outlineLevel="1" x14ac:dyDescent="0.5">
      <c r="K109" s="145"/>
      <c r="L109" s="204"/>
      <c r="M109" s="171"/>
      <c r="N109" s="171"/>
      <c r="O109" s="189"/>
      <c r="P109" s="148"/>
    </row>
    <row r="110" spans="11:16" ht="15" hidden="1" outlineLevel="1" thickBot="1" x14ac:dyDescent="0.55000000000000004">
      <c r="K110" s="145"/>
      <c r="L110" s="204"/>
      <c r="M110" s="211" t="s">
        <v>292</v>
      </c>
      <c r="N110" s="205"/>
      <c r="O110" s="207"/>
      <c r="P110" s="148"/>
    </row>
    <row r="111" spans="11:16" ht="15" hidden="1" outlineLevel="1" thickBot="1" x14ac:dyDescent="0.55000000000000004">
      <c r="K111" s="145"/>
      <c r="L111" s="204"/>
      <c r="M111" s="400" t="s">
        <v>39</v>
      </c>
      <c r="N111" s="401"/>
      <c r="O111" s="281">
        <f>_xlfn.XLOOKUP(A2,'Data - insamling av data'!B6:B26,'Data - insamling av data'!BN6:BN26)</f>
        <v>130.272704194113</v>
      </c>
      <c r="P111" s="148"/>
    </row>
    <row r="112" spans="11:16" ht="15" hidden="1" outlineLevel="1" thickBot="1" x14ac:dyDescent="0.55000000000000004">
      <c r="K112" s="145"/>
      <c r="L112" s="204"/>
      <c r="M112" s="406" t="s">
        <v>340</v>
      </c>
      <c r="N112" s="407"/>
      <c r="O112" s="279">
        <f>_xlfn.XLOOKUP(A2,'Data - insamling av data'!B6:B26,'Data - insamling av data'!BM6:BM26)</f>
        <v>149686</v>
      </c>
      <c r="P112" s="148"/>
    </row>
    <row r="113" spans="11:16" ht="15" hidden="1" outlineLevel="1" thickBot="1" x14ac:dyDescent="0.55000000000000004">
      <c r="K113" s="145"/>
      <c r="L113" s="204"/>
      <c r="M113" s="400" t="s">
        <v>306</v>
      </c>
      <c r="N113" s="401"/>
      <c r="O113" s="280">
        <f>(O111/100000)*O112-($E$65/100000)*O112</f>
        <v>42.320279999999997</v>
      </c>
      <c r="P113" s="148"/>
    </row>
    <row r="114" spans="11:16" ht="15" hidden="1" outlineLevel="1" thickBot="1" x14ac:dyDescent="0.55000000000000004">
      <c r="K114" s="145"/>
      <c r="L114" s="204"/>
      <c r="M114" s="210"/>
      <c r="N114" s="213" t="s">
        <v>343</v>
      </c>
      <c r="O114" s="282">
        <f>_xlfn.XLOOKUP(A2,'Data - insamling av data'!B6:B26,'Data - insamling av data'!BO6:BO26)</f>
        <v>4.0307692307692307</v>
      </c>
      <c r="P114" s="148"/>
    </row>
    <row r="115" spans="11:16" ht="15" hidden="1" outlineLevel="1" thickBot="1" x14ac:dyDescent="0.55000000000000004">
      <c r="K115" s="145"/>
      <c r="L115" s="204"/>
      <c r="M115" s="400" t="s">
        <v>314</v>
      </c>
      <c r="N115" s="401"/>
      <c r="O115" s="279">
        <f>(O113*O114)/365</f>
        <v>0.46735145879873541</v>
      </c>
      <c r="P115" s="148"/>
    </row>
    <row r="116" spans="11:16" ht="14.5" hidden="1" outlineLevel="1" x14ac:dyDescent="0.5">
      <c r="K116" s="145"/>
      <c r="L116" s="204"/>
      <c r="M116" s="171"/>
      <c r="N116" s="171"/>
      <c r="O116" s="189"/>
      <c r="P116" s="148"/>
    </row>
    <row r="117" spans="11:16" ht="15" hidden="1" outlineLevel="1" thickBot="1" x14ac:dyDescent="0.55000000000000004">
      <c r="K117" s="145"/>
      <c r="L117" s="206"/>
      <c r="M117" s="211" t="s">
        <v>293</v>
      </c>
      <c r="N117" s="171"/>
      <c r="O117" s="189"/>
      <c r="P117" s="148"/>
    </row>
    <row r="118" spans="11:16" ht="15" hidden="1" outlineLevel="1" thickBot="1" x14ac:dyDescent="0.55000000000000004">
      <c r="K118" s="145"/>
      <c r="L118" s="204"/>
      <c r="M118" s="400" t="s">
        <v>344</v>
      </c>
      <c r="N118" s="401"/>
      <c r="O118" s="281">
        <f>_xlfn.XLOOKUP(A2,'Data - insamling av data'!B6:B26,'Data - insamling av data'!BR6:BR26)</f>
        <v>2146</v>
      </c>
      <c r="P118" s="148"/>
    </row>
    <row r="119" spans="11:16" ht="15" hidden="1" outlineLevel="1" thickBot="1" x14ac:dyDescent="0.55000000000000004">
      <c r="K119" s="145"/>
      <c r="L119" s="204"/>
      <c r="M119" s="406" t="s">
        <v>317</v>
      </c>
      <c r="N119" s="407"/>
      <c r="O119" s="280">
        <f>_xlfn.XLOOKUP(A2,'Data - insamling av data'!B6:B26,'Data - insamling av data'!BU6:BU26)</f>
        <v>74098</v>
      </c>
      <c r="P119" s="148"/>
    </row>
    <row r="120" spans="11:16" ht="15" hidden="1" outlineLevel="1" thickBot="1" x14ac:dyDescent="0.55000000000000004">
      <c r="K120" s="145"/>
      <c r="L120" s="204"/>
      <c r="M120" s="400" t="s">
        <v>306</v>
      </c>
      <c r="N120" s="401"/>
      <c r="O120" s="282">
        <f>O118-$E$66*O119</f>
        <v>367.64799999999991</v>
      </c>
      <c r="P120" s="148"/>
    </row>
    <row r="121" spans="11:16" ht="15" hidden="1" outlineLevel="1" thickBot="1" x14ac:dyDescent="0.55000000000000004">
      <c r="K121" s="145"/>
      <c r="L121" s="204"/>
      <c r="M121" s="406" t="s">
        <v>345</v>
      </c>
      <c r="N121" s="407"/>
      <c r="O121" s="279">
        <f>_xlfn.XLOOKUP(A2,'Data - insamling av data'!B6:B26,'Data - insamling av data'!BS6:BS26)</f>
        <v>7.9664492078285178</v>
      </c>
      <c r="P121" s="148"/>
    </row>
    <row r="122" spans="11:16" ht="15" hidden="1" outlineLevel="1" thickBot="1" x14ac:dyDescent="0.55000000000000004">
      <c r="K122" s="145"/>
      <c r="L122" s="204"/>
      <c r="M122" s="400" t="s">
        <v>314</v>
      </c>
      <c r="N122" s="401"/>
      <c r="O122" s="283">
        <f>(O120*O121)/365</f>
        <v>8.0242441598896939</v>
      </c>
      <c r="P122" s="148"/>
    </row>
    <row r="123" spans="11:16" ht="14.5" hidden="1" outlineLevel="1" x14ac:dyDescent="0.5">
      <c r="K123" s="145"/>
      <c r="L123" s="204"/>
      <c r="M123" s="171"/>
      <c r="N123" s="203"/>
      <c r="O123" s="200"/>
      <c r="P123" s="148"/>
    </row>
    <row r="124" spans="11:16" ht="15" hidden="1" outlineLevel="1" thickBot="1" x14ac:dyDescent="0.55000000000000004">
      <c r="K124" s="145"/>
      <c r="L124" s="204"/>
      <c r="M124" s="211" t="s">
        <v>294</v>
      </c>
      <c r="N124" s="171"/>
      <c r="O124" s="189"/>
      <c r="P124" s="148"/>
    </row>
    <row r="125" spans="11:16" ht="15" hidden="1" outlineLevel="1" thickBot="1" x14ac:dyDescent="0.55000000000000004">
      <c r="K125" s="145"/>
      <c r="L125" s="204"/>
      <c r="M125" s="410" t="s">
        <v>318</v>
      </c>
      <c r="N125" s="411"/>
      <c r="O125" s="281">
        <f>_xlfn.XLOOKUP(A2,'Data - insamling av data'!B6:B26,'Data - insamling av data'!BZ6:BZ26)</f>
        <v>38273</v>
      </c>
      <c r="P125" s="148"/>
    </row>
    <row r="126" spans="11:16" ht="30.75" hidden="1" customHeight="1" outlineLevel="1" thickBot="1" x14ac:dyDescent="0.55000000000000004">
      <c r="K126" s="145"/>
      <c r="L126" s="204"/>
      <c r="M126" s="417" t="s">
        <v>319</v>
      </c>
      <c r="N126" s="418"/>
      <c r="O126" s="284">
        <f>_xlfn.XLOOKUP(A2,'Data - insamling av data'!B6:B26,'Data - insamling av data'!CA6:CA26)</f>
        <v>1231.1148333333335</v>
      </c>
      <c r="P126" s="148"/>
    </row>
    <row r="127" spans="11:16" ht="15" hidden="1" outlineLevel="1" thickBot="1" x14ac:dyDescent="0.55000000000000004">
      <c r="K127" s="145"/>
      <c r="L127" s="204"/>
      <c r="M127" s="400" t="s">
        <v>306</v>
      </c>
      <c r="N127" s="401"/>
      <c r="O127" s="279">
        <f>O126-O125*$E$67</f>
        <v>-567.71616666666637</v>
      </c>
      <c r="P127" s="148"/>
    </row>
    <row r="128" spans="11:16" ht="15" hidden="1" outlineLevel="1" thickBot="1" x14ac:dyDescent="0.55000000000000004">
      <c r="K128" s="145"/>
      <c r="L128" s="204"/>
      <c r="M128" s="400" t="s">
        <v>320</v>
      </c>
      <c r="N128" s="401"/>
      <c r="O128" s="285">
        <v>6.5</v>
      </c>
      <c r="P128" s="148"/>
    </row>
    <row r="129" spans="11:16" ht="15" hidden="1" outlineLevel="1" thickBot="1" x14ac:dyDescent="0.55000000000000004">
      <c r="K129" s="145"/>
      <c r="L129" s="204"/>
      <c r="M129" s="400" t="s">
        <v>314</v>
      </c>
      <c r="N129" s="401"/>
      <c r="O129" s="279">
        <f>(O127*$O$128)/365</f>
        <v>-10.110013926940633</v>
      </c>
      <c r="P129" s="148"/>
    </row>
    <row r="130" spans="11:16" ht="14.5" hidden="1" outlineLevel="1" x14ac:dyDescent="0.5">
      <c r="K130" s="145"/>
      <c r="L130" s="204"/>
      <c r="M130" s="171"/>
      <c r="N130" s="171"/>
      <c r="O130" s="189"/>
      <c r="P130" s="148"/>
    </row>
    <row r="131" spans="11:16" ht="15" hidden="1" outlineLevel="1" thickBot="1" x14ac:dyDescent="0.55000000000000004">
      <c r="K131" s="145"/>
      <c r="L131" s="191"/>
      <c r="M131" s="187"/>
      <c r="N131" s="187"/>
      <c r="O131" s="195"/>
      <c r="P131" s="148"/>
    </row>
    <row r="132" spans="11:16" hidden="1" outlineLevel="1" x14ac:dyDescent="0.45"/>
    <row r="133" spans="11:16" hidden="1" outlineLevel="1" x14ac:dyDescent="0.45"/>
    <row r="134" spans="11:16" hidden="1" outlineLevel="1" x14ac:dyDescent="0.45"/>
    <row r="135" spans="11:16" hidden="1" outlineLevel="1" x14ac:dyDescent="0.45"/>
    <row r="136" spans="11:16" hidden="1" outlineLevel="1" x14ac:dyDescent="0.45"/>
    <row r="137" spans="11:16" hidden="1" outlineLevel="1" x14ac:dyDescent="0.45"/>
    <row r="138" spans="11:16" hidden="1" outlineLevel="1" x14ac:dyDescent="0.45"/>
    <row r="139" spans="11:16" hidden="1" outlineLevel="1" x14ac:dyDescent="0.45"/>
    <row r="140" spans="11:16" hidden="1" outlineLevel="1" x14ac:dyDescent="0.45"/>
    <row r="141" spans="11:16" hidden="1" outlineLevel="1" x14ac:dyDescent="0.45"/>
    <row r="142" spans="11:16" hidden="1" outlineLevel="1" x14ac:dyDescent="0.45"/>
    <row r="143" spans="11:16" hidden="1" outlineLevel="1" x14ac:dyDescent="0.45"/>
    <row r="144" spans="11:16" hidden="1" outlineLevel="1" x14ac:dyDescent="0.45"/>
    <row r="145" collapsed="1" x14ac:dyDescent="0.45"/>
  </sheetData>
  <sheetProtection algorithmName="SHA-512" hashValue="bFw3tO0SWTQWcn/V6eM5KamcKu6kE+4MFUs16aauNlhy5oLzUUfR9m3qdIXp0dlmCIS6Cbp9WDv9O4Nr/sk+4Q==" saltValue="mcbSy8y1sHWENULgbzkRgw==" spinCount="100000" sheet="1" objects="1" scenarios="1"/>
  <mergeCells count="77">
    <mergeCell ref="D21:F21"/>
    <mergeCell ref="D20:F20"/>
    <mergeCell ref="C19:D19"/>
    <mergeCell ref="E18:F18"/>
    <mergeCell ref="D17:H17"/>
    <mergeCell ref="E27:G27"/>
    <mergeCell ref="D25:F25"/>
    <mergeCell ref="D24:F24"/>
    <mergeCell ref="H23:H25"/>
    <mergeCell ref="D22:F22"/>
    <mergeCell ref="H7:I7"/>
    <mergeCell ref="M126:N126"/>
    <mergeCell ref="M127:N127"/>
    <mergeCell ref="M128:N128"/>
    <mergeCell ref="M129:N129"/>
    <mergeCell ref="M122:N122"/>
    <mergeCell ref="M125:N125"/>
    <mergeCell ref="M105:N105"/>
    <mergeCell ref="M94:N94"/>
    <mergeCell ref="H86:I86"/>
    <mergeCell ref="M86:N86"/>
    <mergeCell ref="H87:I87"/>
    <mergeCell ref="M87:N87"/>
    <mergeCell ref="H88:I88"/>
    <mergeCell ref="M88:N88"/>
    <mergeCell ref="H89:I89"/>
    <mergeCell ref="M97:N97"/>
    <mergeCell ref="M98:N98"/>
    <mergeCell ref="M99:N99"/>
    <mergeCell ref="M101:N101"/>
    <mergeCell ref="M104:N104"/>
    <mergeCell ref="M118:N118"/>
    <mergeCell ref="M119:N119"/>
    <mergeCell ref="M120:N120"/>
    <mergeCell ref="M121:N121"/>
    <mergeCell ref="M106:N106"/>
    <mergeCell ref="M108:N108"/>
    <mergeCell ref="M111:N111"/>
    <mergeCell ref="M112:N112"/>
    <mergeCell ref="M113:N113"/>
    <mergeCell ref="M115:N115"/>
    <mergeCell ref="M89:N89"/>
    <mergeCell ref="H90:I90"/>
    <mergeCell ref="M92:N92"/>
    <mergeCell ref="M93:N93"/>
    <mergeCell ref="H81:I81"/>
    <mergeCell ref="M81:N81"/>
    <mergeCell ref="M82:N82"/>
    <mergeCell ref="H84:I84"/>
    <mergeCell ref="H85:I85"/>
    <mergeCell ref="M85:N85"/>
    <mergeCell ref="H80:I80"/>
    <mergeCell ref="M80:N80"/>
    <mergeCell ref="G63:H63"/>
    <mergeCell ref="G64:H64"/>
    <mergeCell ref="G65:H65"/>
    <mergeCell ref="G66:H66"/>
    <mergeCell ref="G67:H67"/>
    <mergeCell ref="H77:I77"/>
    <mergeCell ref="H78:I78"/>
    <mergeCell ref="M78:N78"/>
    <mergeCell ref="H79:I79"/>
    <mergeCell ref="M79:N79"/>
    <mergeCell ref="D68:F68"/>
    <mergeCell ref="G68:H68"/>
    <mergeCell ref="D53:F53"/>
    <mergeCell ref="G53:H53"/>
    <mergeCell ref="D57:I57"/>
    <mergeCell ref="G60:H60"/>
    <mergeCell ref="G61:H61"/>
    <mergeCell ref="G62:H62"/>
    <mergeCell ref="D47:F47"/>
    <mergeCell ref="G47:H47"/>
    <mergeCell ref="D31:I31"/>
    <mergeCell ref="D42:I42"/>
    <mergeCell ref="G45:H45"/>
    <mergeCell ref="G46:H46"/>
  </mergeCells>
  <pageMargins left="0.7" right="0.7" top="0.75" bottom="0.75" header="0.3" footer="0.3"/>
  <pageSetup paperSize="9"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F23FD-82E0-4C03-A49A-5F6316F50031}">
  <sheetPr>
    <tabColor rgb="FFF8F2E8"/>
  </sheetPr>
  <dimension ref="B1:U24"/>
  <sheetViews>
    <sheetView topLeftCell="A6" zoomScaleNormal="100" workbookViewId="0">
      <selection activeCell="F9" sqref="F9"/>
    </sheetView>
  </sheetViews>
  <sheetFormatPr defaultColWidth="8.453125" defaultRowHeight="10.5" x14ac:dyDescent="0.25"/>
  <cols>
    <col min="1" max="1" width="1.453125" style="49" customWidth="1"/>
    <col min="2" max="2" width="30.1796875" style="49" customWidth="1"/>
    <col min="3" max="3" width="1.1796875" style="49" customWidth="1"/>
    <col min="4" max="4" width="47.54296875" style="49" customWidth="1"/>
    <col min="5" max="5" width="1.1796875" style="49" customWidth="1"/>
    <col min="6" max="6" width="61.453125" style="49" customWidth="1"/>
    <col min="7" max="7" width="1.453125" style="49" customWidth="1"/>
    <col min="8" max="8" width="15.453125" style="49" customWidth="1"/>
    <col min="9" max="16384" width="8.453125" style="49"/>
  </cols>
  <sheetData>
    <row r="1" spans="2:21" ht="24.75" customHeight="1" x14ac:dyDescent="0.25">
      <c r="B1" s="49" t="e" vm="1">
        <v>#VALUE!</v>
      </c>
    </row>
    <row r="3" spans="2:21" ht="16.5" x14ac:dyDescent="0.55000000000000004">
      <c r="B3" s="131" t="s">
        <v>253</v>
      </c>
      <c r="C3" s="131"/>
      <c r="D3" s="131"/>
      <c r="E3" s="131"/>
      <c r="F3" s="131"/>
      <c r="G3" s="131"/>
      <c r="H3" s="131"/>
      <c r="I3" s="138"/>
      <c r="J3" s="138"/>
      <c r="K3" s="138"/>
      <c r="L3" s="138"/>
      <c r="M3" s="138"/>
      <c r="N3" s="138"/>
      <c r="O3" s="138"/>
      <c r="P3" s="138"/>
      <c r="Q3" s="138"/>
      <c r="R3" s="138"/>
      <c r="S3" s="138"/>
      <c r="T3" s="138"/>
      <c r="U3" s="138"/>
    </row>
    <row r="4" spans="2:21" ht="34.5" customHeight="1" x14ac:dyDescent="0.25">
      <c r="B4" s="435" t="s">
        <v>252</v>
      </c>
      <c r="C4" s="435"/>
      <c r="D4" s="435"/>
      <c r="E4" s="435"/>
      <c r="F4" s="435"/>
      <c r="G4" s="435"/>
      <c r="H4" s="435"/>
      <c r="I4" s="138"/>
      <c r="J4" s="138"/>
      <c r="K4" s="138"/>
      <c r="L4" s="138"/>
      <c r="M4" s="138"/>
      <c r="N4" s="138"/>
      <c r="O4" s="138"/>
      <c r="P4" s="138"/>
      <c r="Q4" s="138"/>
      <c r="R4" s="138"/>
      <c r="S4" s="138"/>
      <c r="T4" s="138"/>
      <c r="U4" s="138"/>
    </row>
    <row r="5" spans="2:21" ht="13.5" x14ac:dyDescent="0.45">
      <c r="B5" s="127" t="s">
        <v>83</v>
      </c>
      <c r="D5" s="127" t="s">
        <v>228</v>
      </c>
      <c r="E5" s="130"/>
      <c r="F5" s="127" t="s">
        <v>225</v>
      </c>
      <c r="H5" s="127" t="s">
        <v>248</v>
      </c>
    </row>
    <row r="6" spans="2:21" ht="40.5" x14ac:dyDescent="0.45">
      <c r="B6" s="433" t="s">
        <v>371</v>
      </c>
      <c r="D6" s="325" t="s">
        <v>220</v>
      </c>
      <c r="E6" s="102"/>
      <c r="F6" s="325" t="s">
        <v>379</v>
      </c>
      <c r="G6" s="102"/>
      <c r="H6" s="328" t="s">
        <v>249</v>
      </c>
      <c r="I6" s="102"/>
      <c r="J6" s="102"/>
      <c r="K6" s="102"/>
      <c r="L6" s="102"/>
      <c r="M6" s="102"/>
      <c r="N6" s="102"/>
      <c r="O6" s="102"/>
      <c r="P6" s="102"/>
      <c r="Q6" s="102"/>
      <c r="R6" s="102"/>
      <c r="S6" s="102"/>
      <c r="T6" s="102"/>
    </row>
    <row r="7" spans="2:21" ht="27" x14ac:dyDescent="0.45">
      <c r="B7" s="433"/>
      <c r="D7" s="326" t="s">
        <v>221</v>
      </c>
      <c r="E7" s="102"/>
      <c r="F7" s="326" t="s">
        <v>380</v>
      </c>
      <c r="G7" s="102"/>
      <c r="H7" s="328" t="s">
        <v>249</v>
      </c>
      <c r="I7" s="102"/>
      <c r="J7" s="102"/>
      <c r="K7" s="102"/>
      <c r="L7" s="102"/>
      <c r="M7" s="102"/>
      <c r="N7" s="102"/>
      <c r="O7" s="102"/>
      <c r="P7" s="102"/>
      <c r="Q7" s="102"/>
      <c r="R7" s="102"/>
      <c r="S7" s="102"/>
      <c r="T7" s="102"/>
    </row>
    <row r="8" spans="2:21" ht="27" x14ac:dyDescent="0.45">
      <c r="B8" s="433"/>
      <c r="D8" s="325" t="s">
        <v>222</v>
      </c>
      <c r="E8" s="102"/>
      <c r="F8" s="326" t="s">
        <v>381</v>
      </c>
      <c r="G8" s="102"/>
      <c r="H8" s="328" t="s">
        <v>249</v>
      </c>
      <c r="I8" s="102"/>
      <c r="J8" s="102"/>
      <c r="K8" s="102"/>
      <c r="L8" s="102"/>
      <c r="M8" s="102"/>
      <c r="N8" s="102"/>
      <c r="O8" s="102"/>
      <c r="P8" s="102"/>
      <c r="Q8" s="102"/>
      <c r="R8" s="102"/>
      <c r="S8" s="102"/>
      <c r="T8" s="102"/>
    </row>
    <row r="9" spans="2:21" ht="40.5" x14ac:dyDescent="0.45">
      <c r="B9" s="433"/>
      <c r="D9" s="325" t="s">
        <v>223</v>
      </c>
      <c r="E9" s="102"/>
      <c r="F9" s="325" t="s">
        <v>382</v>
      </c>
      <c r="G9" s="102"/>
      <c r="H9" s="328"/>
      <c r="I9" s="102"/>
      <c r="J9" s="102"/>
      <c r="K9" s="102"/>
      <c r="L9" s="102"/>
      <c r="M9" s="102"/>
      <c r="N9" s="102"/>
      <c r="O9" s="102"/>
      <c r="P9" s="102"/>
      <c r="Q9" s="102"/>
      <c r="R9" s="102"/>
      <c r="S9" s="102"/>
      <c r="T9" s="102"/>
    </row>
    <row r="10" spans="2:21" ht="13.5" x14ac:dyDescent="0.45">
      <c r="B10" s="102"/>
      <c r="D10" s="102"/>
      <c r="E10" s="102"/>
      <c r="F10" s="139"/>
      <c r="G10" s="102"/>
      <c r="H10" s="102"/>
      <c r="I10" s="102"/>
      <c r="J10" s="102"/>
      <c r="K10" s="102"/>
      <c r="L10" s="102"/>
      <c r="M10" s="102"/>
      <c r="N10" s="102"/>
      <c r="O10" s="102"/>
      <c r="P10" s="102"/>
      <c r="Q10" s="102"/>
      <c r="R10" s="102"/>
      <c r="S10" s="102"/>
      <c r="T10" s="102"/>
    </row>
    <row r="11" spans="2:21" ht="27" x14ac:dyDescent="0.45">
      <c r="B11" s="433" t="s">
        <v>142</v>
      </c>
      <c r="D11" s="325" t="s">
        <v>224</v>
      </c>
      <c r="E11" s="102"/>
      <c r="F11" s="325" t="s">
        <v>384</v>
      </c>
      <c r="G11" s="102"/>
      <c r="H11" s="328" t="s">
        <v>250</v>
      </c>
      <c r="I11" s="102"/>
      <c r="J11" s="102"/>
      <c r="K11" s="102"/>
      <c r="L11" s="102"/>
      <c r="M11" s="102"/>
      <c r="N11" s="102"/>
      <c r="O11" s="102"/>
      <c r="P11" s="102"/>
      <c r="Q11" s="102"/>
      <c r="R11" s="102"/>
      <c r="S11" s="102"/>
      <c r="T11" s="102"/>
    </row>
    <row r="12" spans="2:21" ht="26" x14ac:dyDescent="0.45">
      <c r="B12" s="433"/>
      <c r="D12" s="325" t="s">
        <v>226</v>
      </c>
      <c r="E12" s="102"/>
      <c r="F12" s="326" t="s">
        <v>385</v>
      </c>
      <c r="G12" s="102"/>
      <c r="H12" s="328" t="s">
        <v>249</v>
      </c>
      <c r="I12" s="102"/>
      <c r="J12" s="102"/>
      <c r="K12" s="102"/>
      <c r="L12" s="102"/>
      <c r="M12" s="102"/>
      <c r="N12" s="102"/>
      <c r="O12" s="102"/>
      <c r="P12" s="102"/>
      <c r="Q12" s="102"/>
      <c r="R12" s="102"/>
      <c r="S12" s="102"/>
      <c r="T12" s="102"/>
    </row>
    <row r="13" spans="2:21" ht="13.5" x14ac:dyDescent="0.45">
      <c r="B13" s="50"/>
      <c r="D13" s="102"/>
      <c r="E13" s="102"/>
      <c r="F13" s="138"/>
      <c r="G13" s="102"/>
      <c r="H13" s="102"/>
      <c r="I13" s="102"/>
      <c r="J13" s="102"/>
      <c r="K13" s="102"/>
      <c r="L13" s="102"/>
      <c r="M13" s="102"/>
      <c r="N13" s="102"/>
      <c r="O13" s="102"/>
      <c r="P13" s="102"/>
      <c r="Q13" s="102"/>
      <c r="R13" s="102"/>
      <c r="S13" s="102"/>
      <c r="T13" s="102"/>
    </row>
    <row r="14" spans="2:21" ht="27" x14ac:dyDescent="0.45">
      <c r="B14" s="434" t="s">
        <v>90</v>
      </c>
      <c r="D14" s="325" t="s">
        <v>233</v>
      </c>
      <c r="E14" s="102"/>
      <c r="F14" s="325" t="s">
        <v>386</v>
      </c>
      <c r="G14" s="102"/>
      <c r="H14" s="328" t="s">
        <v>249</v>
      </c>
      <c r="I14" s="102"/>
      <c r="J14" s="102"/>
      <c r="K14" s="102"/>
      <c r="L14" s="102"/>
      <c r="M14" s="102"/>
      <c r="N14" s="102"/>
      <c r="O14" s="102"/>
      <c r="P14" s="102"/>
      <c r="Q14" s="102"/>
      <c r="R14" s="102"/>
      <c r="S14" s="102"/>
      <c r="T14" s="102"/>
    </row>
    <row r="15" spans="2:21" ht="27" x14ac:dyDescent="0.45">
      <c r="B15" s="434"/>
      <c r="D15" s="326" t="s">
        <v>234</v>
      </c>
      <c r="E15" s="102"/>
      <c r="F15" s="325" t="s">
        <v>387</v>
      </c>
      <c r="G15" s="102"/>
      <c r="H15" s="328" t="s">
        <v>249</v>
      </c>
      <c r="I15" s="102"/>
      <c r="J15" s="102"/>
      <c r="K15" s="102"/>
      <c r="L15" s="102"/>
      <c r="M15" s="102"/>
      <c r="N15" s="102"/>
      <c r="O15" s="102"/>
      <c r="P15" s="102"/>
      <c r="Q15" s="102"/>
      <c r="R15" s="102"/>
      <c r="S15" s="102"/>
      <c r="T15" s="102"/>
    </row>
    <row r="16" spans="2:21" ht="27" x14ac:dyDescent="0.45">
      <c r="B16" s="434"/>
      <c r="D16" s="326" t="s">
        <v>235</v>
      </c>
      <c r="E16" s="102"/>
      <c r="F16" s="326" t="s">
        <v>388</v>
      </c>
      <c r="G16" s="102"/>
      <c r="H16" s="328" t="s">
        <v>250</v>
      </c>
      <c r="I16" s="102"/>
      <c r="J16" s="102"/>
      <c r="K16" s="102"/>
      <c r="L16" s="102"/>
      <c r="M16" s="102"/>
      <c r="N16" s="102"/>
      <c r="O16" s="102"/>
      <c r="P16" s="102"/>
      <c r="Q16" s="102"/>
      <c r="R16" s="102"/>
      <c r="S16" s="102"/>
      <c r="T16" s="102"/>
    </row>
    <row r="17" spans="2:20" ht="13.5" x14ac:dyDescent="0.45">
      <c r="B17" s="50"/>
      <c r="D17" s="102"/>
      <c r="E17" s="102"/>
      <c r="F17" s="138"/>
      <c r="G17" s="102"/>
      <c r="H17" s="102"/>
      <c r="I17" s="102"/>
      <c r="J17" s="102"/>
      <c r="K17" s="102"/>
      <c r="L17" s="102"/>
      <c r="M17" s="102"/>
      <c r="N17" s="102"/>
      <c r="O17" s="102"/>
      <c r="P17" s="102"/>
      <c r="Q17" s="102"/>
      <c r="R17" s="102"/>
      <c r="S17" s="102"/>
      <c r="T17" s="102"/>
    </row>
    <row r="18" spans="2:20" ht="54" x14ac:dyDescent="0.45">
      <c r="B18" s="327" t="s">
        <v>91</v>
      </c>
      <c r="D18" s="325" t="s">
        <v>240</v>
      </c>
      <c r="E18" s="102"/>
      <c r="F18" s="325" t="s">
        <v>375</v>
      </c>
      <c r="G18" s="102"/>
      <c r="H18" s="328" t="s">
        <v>250</v>
      </c>
      <c r="I18" s="102"/>
      <c r="J18" s="102"/>
      <c r="K18" s="102"/>
      <c r="L18" s="102"/>
      <c r="M18" s="102"/>
      <c r="N18" s="102"/>
      <c r="O18" s="102"/>
      <c r="P18" s="102"/>
      <c r="Q18" s="102"/>
      <c r="R18" s="102"/>
      <c r="S18" s="102"/>
      <c r="T18" s="102"/>
    </row>
    <row r="19" spans="2:20" ht="13.5" x14ac:dyDescent="0.45">
      <c r="B19" s="102"/>
      <c r="D19" s="102"/>
      <c r="E19" s="102"/>
      <c r="F19" s="139"/>
      <c r="G19" s="102"/>
      <c r="H19" s="102"/>
      <c r="I19" s="102"/>
      <c r="J19" s="102"/>
      <c r="K19" s="102"/>
      <c r="L19" s="102"/>
      <c r="M19" s="102"/>
      <c r="N19" s="102"/>
      <c r="O19" s="102"/>
      <c r="P19" s="102"/>
      <c r="Q19" s="102"/>
      <c r="R19" s="102"/>
      <c r="S19" s="102"/>
      <c r="T19" s="102"/>
    </row>
    <row r="20" spans="2:20" ht="40.5" x14ac:dyDescent="0.45">
      <c r="B20" s="327" t="s">
        <v>100</v>
      </c>
      <c r="D20" s="325" t="s">
        <v>242</v>
      </c>
      <c r="E20" s="102"/>
      <c r="F20" s="325" t="s">
        <v>243</v>
      </c>
      <c r="G20" s="102"/>
      <c r="H20" s="328" t="s">
        <v>250</v>
      </c>
      <c r="I20" s="102"/>
      <c r="J20" s="102"/>
      <c r="K20" s="102"/>
      <c r="L20" s="102"/>
      <c r="M20" s="102"/>
      <c r="N20" s="102"/>
      <c r="O20" s="102"/>
      <c r="P20" s="102"/>
      <c r="Q20" s="102"/>
      <c r="R20" s="102"/>
      <c r="S20" s="102"/>
      <c r="T20" s="102"/>
    </row>
    <row r="21" spans="2:20" ht="13.5" x14ac:dyDescent="0.45">
      <c r="B21" s="102"/>
      <c r="D21" s="102"/>
      <c r="E21" s="102"/>
      <c r="F21" s="102"/>
      <c r="G21" s="102"/>
      <c r="H21" s="102"/>
      <c r="I21" s="102"/>
      <c r="J21" s="102"/>
      <c r="K21" s="102"/>
      <c r="L21" s="102"/>
      <c r="M21" s="102"/>
      <c r="N21" s="102"/>
      <c r="O21" s="102"/>
      <c r="P21" s="102"/>
      <c r="Q21" s="102"/>
      <c r="R21" s="102"/>
      <c r="S21" s="102"/>
      <c r="T21" s="102"/>
    </row>
    <row r="22" spans="2:20" ht="13.5" x14ac:dyDescent="0.45">
      <c r="B22" s="102"/>
      <c r="D22" s="102"/>
      <c r="E22" s="102"/>
      <c r="F22" s="102"/>
      <c r="G22" s="102"/>
      <c r="H22" s="102"/>
      <c r="I22" s="102"/>
      <c r="J22" s="102"/>
      <c r="K22" s="102"/>
      <c r="L22" s="102"/>
      <c r="M22" s="102"/>
      <c r="N22" s="102"/>
      <c r="O22" s="102"/>
      <c r="P22" s="102"/>
      <c r="Q22" s="102"/>
      <c r="R22" s="102"/>
      <c r="S22" s="102"/>
      <c r="T22" s="102"/>
    </row>
    <row r="23" spans="2:20" ht="13.5" x14ac:dyDescent="0.45">
      <c r="D23" s="102"/>
      <c r="E23" s="102"/>
      <c r="F23" s="102"/>
      <c r="G23" s="102"/>
      <c r="H23" s="102"/>
      <c r="I23" s="102"/>
      <c r="J23" s="102"/>
      <c r="K23" s="102"/>
      <c r="L23" s="102"/>
      <c r="M23" s="102"/>
      <c r="N23" s="102"/>
      <c r="O23" s="102"/>
      <c r="P23" s="102"/>
      <c r="Q23" s="102"/>
      <c r="R23" s="102"/>
      <c r="S23" s="102"/>
      <c r="T23" s="102"/>
    </row>
    <row r="24" spans="2:20" ht="13.5" x14ac:dyDescent="0.45">
      <c r="D24" s="102"/>
      <c r="E24" s="102"/>
      <c r="F24" s="102"/>
      <c r="G24" s="102"/>
      <c r="H24" s="102"/>
      <c r="I24" s="102"/>
      <c r="J24" s="102"/>
      <c r="K24" s="102"/>
      <c r="L24" s="102"/>
      <c r="M24" s="102"/>
      <c r="N24" s="102"/>
      <c r="O24" s="102"/>
      <c r="P24" s="102"/>
      <c r="Q24" s="102"/>
      <c r="R24" s="102"/>
      <c r="S24" s="102"/>
      <c r="T24" s="102"/>
    </row>
  </sheetData>
  <sheetProtection algorithmName="SHA-512" hashValue="2/M7ScMo9TLMzoz0JFqPIvEcaJf5JCJTw+mbSzETXere6btS28Yu45h90vMg02y7mBF1kw+bzP/vW/63d+VTOg==" saltValue="hFl5QJ+Wpmg+3RIcFmJ65Q==" spinCount="100000" sheet="1" objects="1" scenarios="1"/>
  <mergeCells count="4">
    <mergeCell ref="B6:B9"/>
    <mergeCell ref="B11:B12"/>
    <mergeCell ref="B14:B16"/>
    <mergeCell ref="B4:H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6E5462887F8D4429BE5AB907B672A04" ma:contentTypeVersion="" ma:contentTypeDescription="Skapa ett nytt dokument." ma:contentTypeScope="" ma:versionID="d590a6fc79397819c284a6bff6092dcf">
  <xsd:schema xmlns:xsd="http://www.w3.org/2001/XMLSchema" xmlns:xs="http://www.w3.org/2001/XMLSchema" xmlns:p="http://schemas.microsoft.com/office/2006/metadata/properties" xmlns:ns2="5bf2b24f-f99b-48fb-8416-4cea289d0af1" targetNamespace="http://schemas.microsoft.com/office/2006/metadata/properties" ma:root="true" ma:fieldsID="9fc7fb595d1827a9b7a036a6dd53602a" ns2:_="">
    <xsd:import namespace="5bf2b24f-f99b-48fb-8416-4cea289d0af1"/>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f2b24f-f99b-48fb-8416-4cea289d0af1"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43735D-87D9-4E67-AC19-030DF0CF973A}">
  <ds:schemaRefs>
    <ds:schemaRef ds:uri="http://purl.org/dc/terms/"/>
    <ds:schemaRef ds:uri="http://purl.org/dc/elements/1.1/"/>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 ds:uri="5bf2b24f-f99b-48fb-8416-4cea289d0af1"/>
    <ds:schemaRef ds:uri="http://schemas.microsoft.com/office/2006/metadata/properties"/>
  </ds:schemaRefs>
</ds:datastoreItem>
</file>

<file path=customXml/itemProps2.xml><?xml version="1.0" encoding="utf-8"?>
<ds:datastoreItem xmlns:ds="http://schemas.openxmlformats.org/officeDocument/2006/customXml" ds:itemID="{720E75CD-3B55-4849-941A-B72D05427D27}">
  <ds:schemaRefs>
    <ds:schemaRef ds:uri="http://schemas.microsoft.com/sharepoint/v3/contenttype/forms"/>
  </ds:schemaRefs>
</ds:datastoreItem>
</file>

<file path=customXml/itemProps3.xml><?xml version="1.0" encoding="utf-8"?>
<ds:datastoreItem xmlns:ds="http://schemas.openxmlformats.org/officeDocument/2006/customXml" ds:itemID="{583CE9E7-B383-4DC6-A83B-EA9530229A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f2b24f-f99b-48fb-8416-4cea289d0a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11</vt:i4>
      </vt:variant>
    </vt:vector>
  </HeadingPairs>
  <TitlesOfParts>
    <vt:vector size="11" baseType="lpstr">
      <vt:lpstr>Instruktioner</vt:lpstr>
      <vt:lpstr>Data - insamling av data</vt:lpstr>
      <vt:lpstr>Data - beräkning av pot vårdpla</vt:lpstr>
      <vt:lpstr>Översikt - Målsatta mått</vt:lpstr>
      <vt:lpstr>Översikt - Vårdplatspotential</vt:lpstr>
      <vt:lpstr>Kapacitetsmått</vt:lpstr>
      <vt:lpstr>Behovsmått</vt:lpstr>
      <vt:lpstr>Scenario - Egna målnivåer</vt:lpstr>
      <vt:lpstr>Ej målsatta mått</vt:lpstr>
      <vt:lpstr>Utvecklingsmått</vt:lpstr>
      <vt:lpstr>Stödfil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Athina Swahn</dc:creator>
  <cp:lastModifiedBy>Sjöberg, Therese</cp:lastModifiedBy>
  <cp:lastPrinted>2025-07-03T12:57:59Z</cp:lastPrinted>
  <dcterms:created xsi:type="dcterms:W3CDTF">2024-10-29T07:01:50Z</dcterms:created>
  <dcterms:modified xsi:type="dcterms:W3CDTF">2025-09-11T13:16:34Z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0x01010096E5462887F8D4429BE5AB907B672A04</vt:lpwstr>
  </property>
</Properties>
</file>